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8895" tabRatio="488" activeTab="1"/>
  </bookViews>
  <sheets>
    <sheet name="A - Organisation" sheetId="1" r:id="rId1"/>
    <sheet name="B - Estim couts" sheetId="2" r:id="rId2"/>
  </sheets>
  <definedNames>
    <definedName name="_140_jours_d_école">140</definedName>
    <definedName name="_147_jours_d_école">147</definedName>
    <definedName name="Cout_actuel">'B - Estim couts'!$D$44</definedName>
    <definedName name="situation_actuelle">'A - Organisation'!$D:$D</definedName>
  </definedNames>
  <calcPr fullCalcOnLoad="1"/>
</workbook>
</file>

<file path=xl/comments1.xml><?xml version="1.0" encoding="utf-8"?>
<comments xmlns="http://schemas.openxmlformats.org/spreadsheetml/2006/main">
  <authors>
    <author>Patrice DAVID</author>
  </authors>
  <commentList>
    <comment ref="B13" authorId="0">
      <text>
        <r>
          <rPr>
            <b/>
            <sz val="8"/>
            <rFont val="Tahoma"/>
            <family val="0"/>
          </rPr>
          <t>Patrice DAVID:</t>
        </r>
        <r>
          <rPr>
            <sz val="8"/>
            <rFont val="Tahoma"/>
            <family val="0"/>
          </rPr>
          <t xml:space="preserve">
Accueil dès 7 h, et jusqu'à 8 h 30
</t>
        </r>
      </text>
    </comment>
    <comment ref="B14" authorId="0">
      <text>
        <r>
          <rPr>
            <b/>
            <sz val="8"/>
            <rFont val="Tahoma"/>
            <family val="0"/>
          </rPr>
          <t>Patrice DAVID:</t>
        </r>
        <r>
          <rPr>
            <sz val="8"/>
            <rFont val="Tahoma"/>
            <family val="0"/>
          </rPr>
          <t xml:space="preserve">
De la sortie : 16 h 30 à 18 h 30</t>
        </r>
      </text>
    </comment>
    <comment ref="B15" authorId="0">
      <text>
        <r>
          <rPr>
            <b/>
            <sz val="8"/>
            <rFont val="Tahoma"/>
            <family val="0"/>
          </rPr>
          <t>Patrice DAVID:</t>
        </r>
        <r>
          <rPr>
            <sz val="8"/>
            <rFont val="Tahoma"/>
            <family val="0"/>
          </rPr>
          <t xml:space="preserve">
02 h 00 par jour, (30 mn à chaque entrée ou sortie).</t>
        </r>
      </text>
    </comment>
  </commentList>
</comments>
</file>

<file path=xl/comments2.xml><?xml version="1.0" encoding="utf-8"?>
<comments xmlns="http://schemas.openxmlformats.org/spreadsheetml/2006/main">
  <authors>
    <author>Patrice DAVID</author>
  </authors>
  <commentList>
    <comment ref="C26" authorId="0">
      <text>
        <r>
          <rPr>
            <b/>
            <sz val="10"/>
            <rFont val="Tahoma"/>
            <family val="2"/>
          </rPr>
          <t>Patrice DAVID:</t>
        </r>
        <r>
          <rPr>
            <sz val="10"/>
            <rFont val="Tahoma"/>
            <family val="2"/>
          </rPr>
          <t xml:space="preserve">
Si repas : base 4,062 € *( 9,70 - coût personnel service ) X 1353 ( rationnaires base 50% fréquentation autres jours )</t>
        </r>
      </text>
    </comment>
    <comment ref="E8" authorId="0">
      <text>
        <r>
          <rPr>
            <b/>
            <sz val="8"/>
            <rFont val="Tahoma"/>
            <family val="0"/>
          </rPr>
          <t>Patrice DAVID:</t>
        </r>
        <r>
          <rPr>
            <sz val="8"/>
            <rFont val="Tahoma"/>
            <family val="0"/>
          </rPr>
          <t xml:space="preserve">
Equivalent temps complets</t>
        </r>
      </text>
    </comment>
    <comment ref="G10" authorId="0">
      <text>
        <r>
          <rPr>
            <b/>
            <sz val="10"/>
            <rFont val="Tahoma"/>
            <family val="2"/>
          </rPr>
          <t>Patrice DAVID:</t>
        </r>
        <r>
          <rPr>
            <sz val="10"/>
            <rFont val="Tahoma"/>
            <family val="2"/>
          </rPr>
          <t xml:space="preserve">
Je considère que les ATSEM sont "au maximum", elles travaillent à 100%, et le nombre de postes n'augmente pas.</t>
        </r>
      </text>
    </comment>
  </commentList>
</comments>
</file>

<file path=xl/sharedStrings.xml><?xml version="1.0" encoding="utf-8"?>
<sst xmlns="http://schemas.openxmlformats.org/spreadsheetml/2006/main" count="122" uniqueCount="88">
  <si>
    <t xml:space="preserve">Autres postes </t>
  </si>
  <si>
    <t xml:space="preserve">TOTAL R.H. / autres directions </t>
  </si>
  <si>
    <t xml:space="preserve"> Sans restauration scolaire le mercredi</t>
  </si>
  <si>
    <t>Avec restauration scolaire le mercredi</t>
  </si>
  <si>
    <t xml:space="preserve">Ressources Humaines </t>
  </si>
  <si>
    <t>ATSEM</t>
  </si>
  <si>
    <t>Animateurs municipaux</t>
  </si>
  <si>
    <t>Accompagnateurs bus</t>
  </si>
  <si>
    <t xml:space="preserve"> Sortie d'école </t>
  </si>
  <si>
    <t xml:space="preserve"> Entretien ménager </t>
  </si>
  <si>
    <r>
      <t xml:space="preserve"> Repas </t>
    </r>
    <r>
      <rPr>
        <sz val="10"/>
        <rFont val="Arial"/>
        <family val="2"/>
      </rPr>
      <t xml:space="preserve">: </t>
    </r>
  </si>
  <si>
    <t>Coût unitaire / horaire</t>
  </si>
  <si>
    <t>Animateurs resto/ accueil</t>
  </si>
  <si>
    <t>Agent de restauration</t>
  </si>
  <si>
    <t>Situation actuelle</t>
  </si>
  <si>
    <t>Hypothèse 1a :</t>
  </si>
  <si>
    <t>Hypothèse 1b :</t>
  </si>
  <si>
    <t>Hypothèse 2a :</t>
  </si>
  <si>
    <t>Hypothèse 2b :</t>
  </si>
  <si>
    <t>Durée quotidienne</t>
  </si>
  <si>
    <t>140 jours d'école</t>
  </si>
  <si>
    <t xml:space="preserve">140 J d'école ( idem) et 35 mercredi </t>
  </si>
  <si>
    <t xml:space="preserve"> 147 J d'école et 37 mercredi</t>
  </si>
  <si>
    <t xml:space="preserve"> 140 J d'école ( idem) et 35 mercredi</t>
  </si>
  <si>
    <t>Durée annuelle</t>
  </si>
  <si>
    <t>Scolaire</t>
  </si>
  <si>
    <t>Pause méridienne</t>
  </si>
  <si>
    <t>Accueil pré</t>
  </si>
  <si>
    <t>Accueil post</t>
  </si>
  <si>
    <t>Les ATSEM passeraient à 100 % temps scolaire et feront l'entretien  mais plus d'ALSH.</t>
  </si>
  <si>
    <t>Goûters</t>
  </si>
  <si>
    <t>Divers…</t>
  </si>
  <si>
    <t>Soir</t>
  </si>
  <si>
    <t>de temps de travail annuel en plus</t>
  </si>
  <si>
    <t>Matin et midi</t>
  </si>
  <si>
    <t>Jours de restaurant,
de 9 h à 15 h 30</t>
  </si>
  <si>
    <t>Restauration</t>
  </si>
  <si>
    <t>Patrouilleurs</t>
  </si>
  <si>
    <t>Matin et soir</t>
  </si>
  <si>
    <t>Matin, midi et soir</t>
  </si>
  <si>
    <t>Chaque jour de classe</t>
  </si>
  <si>
    <t>Entretien ménager</t>
  </si>
  <si>
    <t>Gardiennage - Accueil</t>
  </si>
  <si>
    <t>de temps de travail annuel dans la classe en plus</t>
  </si>
  <si>
    <t>Augm. annuelle temps de travail / situation actuelle</t>
  </si>
  <si>
    <t xml:space="preserve"> </t>
  </si>
  <si>
    <t>ETC</t>
  </si>
  <si>
    <t xml:space="preserve">Fluides </t>
  </si>
  <si>
    <t>Fournitures scolaires</t>
  </si>
  <si>
    <t xml:space="preserve">Transports scolaires </t>
  </si>
  <si>
    <t>Strictement proportionnel</t>
  </si>
  <si>
    <t>Estimé en augmentation /h</t>
  </si>
  <si>
    <t>Forfait maintenu</t>
  </si>
  <si>
    <t xml:space="preserve">Fourn. périscolaires </t>
  </si>
  <si>
    <t>Augmentation / Nb séances</t>
  </si>
  <si>
    <t>Nombre de goûters</t>
  </si>
  <si>
    <t xml:space="preserve">Coût direct total </t>
  </si>
  <si>
    <t xml:space="preserve">TOTAL R.H. / Dir. Education </t>
  </si>
  <si>
    <t xml:space="preserve"> De 7 h à 8 h 30</t>
  </si>
  <si>
    <t>Une présence en plus le mercredi, le matin et à la fin du repas.</t>
  </si>
  <si>
    <t>Un trajet le mercredi A/R</t>
  </si>
  <si>
    <t>Une intervention en plus le mercredi</t>
  </si>
  <si>
    <t>Pour mémoire</t>
  </si>
  <si>
    <t xml:space="preserve"> De 16 h 30 à 18 h 30 mais pas le mercredi</t>
  </si>
  <si>
    <t>(a)</t>
  </si>
  <si>
    <t>(b)</t>
  </si>
  <si>
    <t>(d)</t>
  </si>
  <si>
    <t>(e)</t>
  </si>
  <si>
    <t>(f)</t>
  </si>
  <si>
    <t>(g)</t>
  </si>
  <si>
    <t>Actuellement</t>
  </si>
  <si>
    <t>1a</t>
  </si>
  <si>
    <t>1b</t>
  </si>
  <si>
    <t>2a</t>
  </si>
  <si>
    <t>2b</t>
  </si>
  <si>
    <t>Prestations</t>
  </si>
  <si>
    <t>Hypothèse</t>
  </si>
  <si>
    <t>Coût estimé</t>
  </si>
  <si>
    <t>Var%</t>
  </si>
  <si>
    <t>Augm. annuelle temps de travail par rapport à la situation actuelle</t>
  </si>
  <si>
    <t>Réorganisation interne nécessaire</t>
  </si>
  <si>
    <t>Quotid.</t>
  </si>
  <si>
    <t>Au réel</t>
  </si>
  <si>
    <t>s. sans restauration</t>
  </si>
  <si>
    <t>s. avec restauration</t>
  </si>
  <si>
    <t xml:space="preserve">140 J d'école ( idem) et 36 mercredi </t>
  </si>
  <si>
    <t xml:space="preserve"> 140 J d'école ( idem) et 36 mercredi</t>
  </si>
  <si>
    <t>Maj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</si>
</sst>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#,##0.0\ &quot;€&quot;;[Red]\-#,##0.0\ &quot;€&quot;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#,##0\ &quot;€&quot;"/>
    <numFmt numFmtId="170" formatCode="#,##0\ \€;[Red]\-#,##0\ \€"/>
    <numFmt numFmtId="171" formatCode="mmm\-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Verdana"/>
      <family val="2"/>
    </font>
    <font>
      <sz val="10.75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4" fillId="31" borderId="0">
      <alignment horizontal="left" vertical="center" wrapText="1"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6" fontId="0" fillId="0" borderId="0" xfId="0" applyNumberFormat="1" applyBorder="1" applyAlignment="1">
      <alignment wrapText="1"/>
    </xf>
    <xf numFmtId="44" fontId="0" fillId="0" borderId="0" xfId="50" applyFont="1" applyBorder="1" applyAlignment="1">
      <alignment wrapText="1"/>
    </xf>
    <xf numFmtId="44" fontId="1" fillId="0" borderId="0" xfId="50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4" fontId="0" fillId="0" borderId="0" xfId="50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44" fontId="0" fillId="0" borderId="0" xfId="5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31" borderId="0" xfId="0" applyFont="1" applyFill="1" applyBorder="1" applyAlignment="1">
      <alignment horizontal="center" wrapText="1"/>
    </xf>
    <xf numFmtId="0" fontId="0" fillId="31" borderId="0" xfId="0" applyFill="1" applyBorder="1" applyAlignment="1">
      <alignment/>
    </xf>
    <xf numFmtId="0" fontId="1" fillId="31" borderId="0" xfId="0" applyFont="1" applyFill="1" applyBorder="1" applyAlignment="1">
      <alignment/>
    </xf>
    <xf numFmtId="0" fontId="0" fillId="31" borderId="0" xfId="0" applyFill="1" applyBorder="1" applyAlignment="1">
      <alignment wrapText="1"/>
    </xf>
    <xf numFmtId="6" fontId="0" fillId="31" borderId="0" xfId="0" applyNumberFormat="1" applyFill="1" applyBorder="1" applyAlignment="1">
      <alignment wrapText="1"/>
    </xf>
    <xf numFmtId="9" fontId="0" fillId="0" borderId="0" xfId="53" applyFont="1" applyBorder="1" applyAlignment="1">
      <alignment wrapText="1"/>
    </xf>
    <xf numFmtId="0" fontId="0" fillId="0" borderId="10" xfId="0" applyFont="1" applyBorder="1" applyAlignment="1">
      <alignment wrapText="1"/>
    </xf>
    <xf numFmtId="20" fontId="1" fillId="0" borderId="10" xfId="0" applyNumberFormat="1" applyFont="1" applyBorder="1" applyAlignment="1">
      <alignment/>
    </xf>
    <xf numFmtId="2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1" borderId="10" xfId="0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0" fillId="0" borderId="0" xfId="56" applyBorder="1" applyAlignment="1">
      <alignment horizontal="left" vertical="top" wrapText="1"/>
      <protection/>
    </xf>
    <xf numFmtId="0" fontId="0" fillId="31" borderId="0" xfId="56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64" fontId="1" fillId="33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2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31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wrapText="1"/>
    </xf>
    <xf numFmtId="0" fontId="1" fillId="31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31" borderId="16" xfId="0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9" fontId="0" fillId="0" borderId="13" xfId="53" applyFont="1" applyBorder="1" applyAlignment="1">
      <alignment wrapText="1"/>
    </xf>
    <xf numFmtId="6" fontId="0" fillId="0" borderId="14" xfId="0" applyNumberFormat="1" applyBorder="1" applyAlignment="1">
      <alignment wrapText="1"/>
    </xf>
    <xf numFmtId="9" fontId="0" fillId="0" borderId="15" xfId="53" applyFont="1" applyBorder="1" applyAlignment="1">
      <alignment wrapText="1"/>
    </xf>
    <xf numFmtId="6" fontId="0" fillId="0" borderId="13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20" fontId="1" fillId="0" borderId="18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6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 wrapText="1"/>
    </xf>
    <xf numFmtId="20" fontId="1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43" fontId="0" fillId="0" borderId="0" xfId="48" applyFont="1" applyBorder="1" applyAlignment="1">
      <alignment/>
    </xf>
    <xf numFmtId="43" fontId="0" fillId="0" borderId="22" xfId="48" applyFont="1" applyBorder="1" applyAlignment="1">
      <alignment/>
    </xf>
    <xf numFmtId="43" fontId="1" fillId="0" borderId="22" xfId="48" applyFont="1" applyBorder="1" applyAlignment="1">
      <alignment/>
    </xf>
    <xf numFmtId="43" fontId="1" fillId="0" borderId="0" xfId="48" applyFont="1" applyBorder="1" applyAlignment="1">
      <alignment horizontal="center" wrapText="1"/>
    </xf>
    <xf numFmtId="43" fontId="0" fillId="0" borderId="0" xfId="48" applyFont="1" applyBorder="1" applyAlignment="1">
      <alignment wrapText="1"/>
    </xf>
    <xf numFmtId="9" fontId="0" fillId="0" borderId="0" xfId="0" applyNumberFormat="1" applyFont="1" applyBorder="1" applyAlignment="1">
      <alignment wrapText="1"/>
    </xf>
    <xf numFmtId="6" fontId="1" fillId="34" borderId="0" xfId="0" applyNumberFormat="1" applyFont="1" applyFill="1" applyBorder="1" applyAlignment="1">
      <alignment wrapText="1"/>
    </xf>
    <xf numFmtId="43" fontId="1" fillId="34" borderId="0" xfId="48" applyFont="1" applyFill="1" applyBorder="1" applyAlignment="1">
      <alignment wrapText="1"/>
    </xf>
    <xf numFmtId="6" fontId="1" fillId="34" borderId="20" xfId="0" applyNumberFormat="1" applyFont="1" applyFill="1" applyBorder="1" applyAlignment="1">
      <alignment wrapText="1"/>
    </xf>
    <xf numFmtId="44" fontId="0" fillId="0" borderId="0" xfId="0" applyNumberFormat="1" applyBorder="1" applyAlignment="1">
      <alignment wrapText="1"/>
    </xf>
    <xf numFmtId="43" fontId="0" fillId="34" borderId="0" xfId="48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44" fontId="1" fillId="34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44" fontId="0" fillId="0" borderId="0" xfId="44" applyFont="1" applyBorder="1" applyAlignment="1">
      <alignment wrapText="1"/>
    </xf>
    <xf numFmtId="168" fontId="8" fillId="35" borderId="22" xfId="48" applyNumberFormat="1" applyFont="1" applyFill="1" applyBorder="1" applyAlignment="1">
      <alignment/>
    </xf>
    <xf numFmtId="8" fontId="9" fillId="36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/>
    </xf>
    <xf numFmtId="43" fontId="10" fillId="0" borderId="0" xfId="48" applyFont="1" applyBorder="1" applyAlignment="1">
      <alignment horizontal="center"/>
    </xf>
    <xf numFmtId="6" fontId="10" fillId="0" borderId="0" xfId="0" applyNumberFormat="1" applyFont="1" applyBorder="1" applyAlignment="1">
      <alignment wrapText="1"/>
    </xf>
    <xf numFmtId="44" fontId="10" fillId="0" borderId="0" xfId="44" applyFont="1" applyBorder="1" applyAlignment="1">
      <alignment wrapText="1"/>
    </xf>
    <xf numFmtId="44" fontId="10" fillId="0" borderId="0" xfId="50" applyFont="1" applyBorder="1" applyAlignment="1">
      <alignment wrapText="1"/>
    </xf>
    <xf numFmtId="0" fontId="7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0" fontId="1" fillId="0" borderId="12" xfId="0" applyNumberFormat="1" applyFont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20" fontId="1" fillId="31" borderId="24" xfId="0" applyNumberFormat="1" applyFont="1" applyFill="1" applyBorder="1" applyAlignment="1">
      <alignment/>
    </xf>
    <xf numFmtId="0" fontId="1" fillId="31" borderId="24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8" fontId="12" fillId="0" borderId="10" xfId="0" applyNumberFormat="1" applyFont="1" applyBorder="1" applyAlignment="1">
      <alignment/>
    </xf>
    <xf numFmtId="0" fontId="15" fillId="38" borderId="10" xfId="0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/>
    </xf>
    <xf numFmtId="8" fontId="15" fillId="3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right" wrapText="1"/>
    </xf>
    <xf numFmtId="0" fontId="12" fillId="0" borderId="26" xfId="0" applyFont="1" applyBorder="1" applyAlignment="1">
      <alignment/>
    </xf>
    <xf numFmtId="8" fontId="12" fillId="0" borderId="26" xfId="0" applyNumberFormat="1" applyFont="1" applyBorder="1" applyAlignment="1">
      <alignment/>
    </xf>
    <xf numFmtId="43" fontId="12" fillId="0" borderId="27" xfId="48" applyFont="1" applyBorder="1" applyAlignment="1">
      <alignment/>
    </xf>
    <xf numFmtId="0" fontId="0" fillId="0" borderId="28" xfId="0" applyBorder="1" applyAlignment="1">
      <alignment/>
    </xf>
    <xf numFmtId="43" fontId="15" fillId="38" borderId="29" xfId="48" applyFont="1" applyFill="1" applyBorder="1" applyAlignment="1">
      <alignment horizontal="center"/>
    </xf>
    <xf numFmtId="9" fontId="12" fillId="0" borderId="29" xfId="53" applyFont="1" applyBorder="1" applyAlignment="1">
      <alignment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/>
    </xf>
    <xf numFmtId="8" fontId="12" fillId="0" borderId="31" xfId="0" applyNumberFormat="1" applyFont="1" applyBorder="1" applyAlignment="1">
      <alignment/>
    </xf>
    <xf numFmtId="9" fontId="12" fillId="0" borderId="32" xfId="53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31" borderId="23" xfId="58" applyBorder="1">
      <alignment horizontal="left" vertical="center" wrapText="1"/>
      <protection/>
    </xf>
    <xf numFmtId="0" fontId="4" fillId="31" borderId="11" xfId="58" applyBorder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31" borderId="0" xfId="58" applyFont="1">
      <alignment horizontal="left" vertical="center" wrapText="1"/>
      <protection/>
    </xf>
    <xf numFmtId="0" fontId="4" fillId="31" borderId="0" xfId="58">
      <alignment horizontal="left" vertical="center" wrapText="1"/>
      <protection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8" fillId="31" borderId="22" xfId="0" applyFont="1" applyFill="1" applyBorder="1" applyAlignment="1">
      <alignment horizontal="center" wrapText="1"/>
    </xf>
    <xf numFmtId="0" fontId="8" fillId="31" borderId="24" xfId="0" applyFont="1" applyFill="1" applyBorder="1" applyAlignment="1">
      <alignment horizontal="center" wrapText="1"/>
    </xf>
    <xf numFmtId="0" fontId="8" fillId="31" borderId="18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" xfId="56"/>
    <cellStyle name="Texte explicatif" xfId="57"/>
    <cellStyle name="Titr_h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745"/>
          <c:w val="0.9742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 - Estim couts'!$G$2:$J$2</c:f>
              <c:strCache>
                <c:ptCount val="1"/>
                <c:pt idx="0">
                  <c:v>Hypothèse 1a : Hypothèse 1b : Hypothèse 2a : Hypothèse 2b 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('B - Estim couts'!$D$33,'B - Estim couts'!$G$33,'B - Estim couts'!$H$33,'B - Estim couts'!$I$33,'B - Estim couts'!$J$33)</c:f>
              <c:numCache/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\ \€;[Red]\-#,##0\ \€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30</xdr:row>
      <xdr:rowOff>47625</xdr:rowOff>
    </xdr:from>
    <xdr:to>
      <xdr:col>7</xdr:col>
      <xdr:colOff>133350</xdr:colOff>
      <xdr:row>38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61950" y="7410450"/>
          <a:ext cx="59817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tableau permet de calculer l'augmentation annuelle du temps de travail (l'hypothèse diminution n'a pas été vérifiée) selon la nouvelle organisation du temps scolaire et périscolaire selon 4 hypothèses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- 36 semaines classe - journée raccourcie de 45 mn - école le mercredi matin mais pas de restau.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- 38 semaines classe - journée raccourcie de 45 mn - école le mercredi matin mais pas de restau.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- 36 semaines classe - journée raccourcie de 45 mn - école le mercredi matin et restau.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- 38 semaines classe - journée raccourcie de 45 mn - école le mercredi matin et restau.</a:t>
          </a:r>
        </a:p>
      </xdr:txBody>
    </xdr:sp>
    <xdr:clientData/>
  </xdr:twoCellAnchor>
  <xdr:oneCellAnchor>
    <xdr:from>
      <xdr:col>8</xdr:col>
      <xdr:colOff>866775</xdr:colOff>
      <xdr:row>33</xdr:row>
      <xdr:rowOff>57150</xdr:rowOff>
    </xdr:from>
    <xdr:ext cx="3038475" cy="942975"/>
    <xdr:sp>
      <xdr:nvSpPr>
        <xdr:cNvPr id="2" name="AutoShape 89"/>
        <xdr:cNvSpPr>
          <a:spLocks/>
        </xdr:cNvSpPr>
      </xdr:nvSpPr>
      <xdr:spPr>
        <a:xfrm>
          <a:off x="7458075" y="7905750"/>
          <a:ext cx="3038475" cy="942975"/>
        </a:xfrm>
        <a:prstGeom prst="wedgeRoundRectCallout">
          <a:avLst>
            <a:gd name="adj1" fmla="val -41847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tableau permet de calculer l'augmentation en valeur relative du temps de travail des différents agents  (par catégorie).</a:t>
          </a:r>
        </a:p>
      </xdr:txBody>
    </xdr:sp>
    <xdr:clientData/>
  </xdr:oneCellAnchor>
  <xdr:twoCellAnchor>
    <xdr:from>
      <xdr:col>0</xdr:col>
      <xdr:colOff>104775</xdr:colOff>
      <xdr:row>0</xdr:row>
      <xdr:rowOff>95250</xdr:rowOff>
    </xdr:from>
    <xdr:to>
      <xdr:col>2</xdr:col>
      <xdr:colOff>1238250</xdr:colOff>
      <xdr:row>4</xdr:row>
      <xdr:rowOff>28575</xdr:rowOff>
    </xdr:to>
    <xdr:sp>
      <xdr:nvSpPr>
        <xdr:cNvPr id="3" name="Text Box 90"/>
        <xdr:cNvSpPr txBox="1">
          <a:spLocks noChangeArrowheads="1"/>
        </xdr:cNvSpPr>
      </xdr:nvSpPr>
      <xdr:spPr>
        <a:xfrm>
          <a:off x="104775" y="95250"/>
          <a:ext cx="3019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Calculer des coûts - 2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123825</xdr:rowOff>
    </xdr:from>
    <xdr:to>
      <xdr:col>10</xdr:col>
      <xdr:colOff>1962150</xdr:colOff>
      <xdr:row>52</xdr:row>
      <xdr:rowOff>104775</xdr:rowOff>
    </xdr:to>
    <xdr:graphicFrame>
      <xdr:nvGraphicFramePr>
        <xdr:cNvPr id="1" name="Graphique 5"/>
        <xdr:cNvGraphicFramePr/>
      </xdr:nvGraphicFramePr>
      <xdr:xfrm>
        <a:off x="5534025" y="6915150"/>
        <a:ext cx="7372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123825</xdr:colOff>
      <xdr:row>14</xdr:row>
      <xdr:rowOff>152400</xdr:rowOff>
    </xdr:from>
    <xdr:ext cx="1828800" cy="1914525"/>
    <xdr:sp>
      <xdr:nvSpPr>
        <xdr:cNvPr id="2" name="AutoShape 6"/>
        <xdr:cNvSpPr>
          <a:spLocks/>
        </xdr:cNvSpPr>
      </xdr:nvSpPr>
      <xdr:spPr>
        <a:xfrm>
          <a:off x="11068050" y="3448050"/>
          <a:ext cx="1828800" cy="1914525"/>
        </a:xfrm>
        <a:prstGeom prst="wedgeRoundRectCallout">
          <a:avLst>
            <a:gd name="adj1" fmla="val -47393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tableau permet de calculer l'augmentation des coûts des différents services, selon coût horaire moyen des différents agents  (par catégorie) et l'évolution calculée dans la feuille jointe "Organisation trav".</a:t>
          </a:r>
        </a:p>
      </xdr:txBody>
    </xdr:sp>
    <xdr:clientData/>
  </xdr:oneCellAnchor>
  <xdr:twoCellAnchor>
    <xdr:from>
      <xdr:col>0</xdr:col>
      <xdr:colOff>209550</xdr:colOff>
      <xdr:row>35</xdr:row>
      <xdr:rowOff>161925</xdr:rowOff>
    </xdr:from>
    <xdr:to>
      <xdr:col>3</xdr:col>
      <xdr:colOff>1028700</xdr:colOff>
      <xdr:row>40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09550" y="7277100"/>
          <a:ext cx="43529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Introduire dans la colonne (a) les valeurs connues, les hypothèse des colonnes (d), (e), (f) et (g) se mettent à jour selon les paramètres du haut du tableau.</a:t>
          </a:r>
        </a:p>
      </xdr:txBody>
    </xdr:sp>
    <xdr:clientData/>
  </xdr:twoCellAnchor>
  <xdr:twoCellAnchor>
    <xdr:from>
      <xdr:col>7</xdr:col>
      <xdr:colOff>885825</xdr:colOff>
      <xdr:row>48</xdr:row>
      <xdr:rowOff>200025</xdr:rowOff>
    </xdr:from>
    <xdr:to>
      <xdr:col>8</xdr:col>
      <xdr:colOff>962025</xdr:colOff>
      <xdr:row>50</xdr:row>
      <xdr:rowOff>57150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800975" y="9572625"/>
          <a:ext cx="1419225" cy="2190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35 s. - pas de restau</a:t>
          </a:r>
        </a:p>
      </xdr:txBody>
    </xdr:sp>
    <xdr:clientData/>
  </xdr:twoCellAnchor>
  <xdr:twoCellAnchor>
    <xdr:from>
      <xdr:col>8</xdr:col>
      <xdr:colOff>866775</xdr:colOff>
      <xdr:row>46</xdr:row>
      <xdr:rowOff>114300</xdr:rowOff>
    </xdr:from>
    <xdr:to>
      <xdr:col>9</xdr:col>
      <xdr:colOff>904875</xdr:colOff>
      <xdr:row>48</xdr:row>
      <xdr:rowOff>28575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124950" y="9105900"/>
          <a:ext cx="1381125" cy="2952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37 s. - pas de restau</a:t>
          </a:r>
        </a:p>
      </xdr:txBody>
    </xdr:sp>
    <xdr:clientData/>
  </xdr:twoCellAnchor>
  <xdr:twoCellAnchor>
    <xdr:from>
      <xdr:col>10</xdr:col>
      <xdr:colOff>571500</xdr:colOff>
      <xdr:row>46</xdr:row>
      <xdr:rowOff>123825</xdr:rowOff>
    </xdr:from>
    <xdr:to>
      <xdr:col>10</xdr:col>
      <xdr:colOff>1876425</xdr:colOff>
      <xdr:row>48</xdr:row>
      <xdr:rowOff>9525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1515725" y="9115425"/>
          <a:ext cx="1304925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 s. - avec restau</a:t>
          </a:r>
        </a:p>
      </xdr:txBody>
    </xdr:sp>
    <xdr:clientData/>
  </xdr:twoCellAnchor>
  <xdr:twoCellAnchor>
    <xdr:from>
      <xdr:col>9</xdr:col>
      <xdr:colOff>1076325</xdr:colOff>
      <xdr:row>48</xdr:row>
      <xdr:rowOff>200025</xdr:rowOff>
    </xdr:from>
    <xdr:to>
      <xdr:col>10</xdr:col>
      <xdr:colOff>990600</xdr:colOff>
      <xdr:row>50</xdr:row>
      <xdr:rowOff>57150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0677525" y="9572625"/>
          <a:ext cx="125730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 s. - avec restau</a:t>
          </a:r>
        </a:p>
      </xdr:txBody>
    </xdr:sp>
    <xdr:clientData/>
  </xdr:twoCellAnchor>
  <xdr:twoCellAnchor>
    <xdr:from>
      <xdr:col>6</xdr:col>
      <xdr:colOff>1028700</xdr:colOff>
      <xdr:row>50</xdr:row>
      <xdr:rowOff>57150</xdr:rowOff>
    </xdr:from>
    <xdr:to>
      <xdr:col>7</xdr:col>
      <xdr:colOff>942975</xdr:colOff>
      <xdr:row>51</xdr:row>
      <xdr:rowOff>104775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6600825" y="9791700"/>
          <a:ext cx="1257300" cy="2095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Actuellement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47"/>
  <sheetViews>
    <sheetView zoomScale="80" zoomScaleNormal="80" zoomScalePageLayoutView="0" workbookViewId="0" topLeftCell="B1">
      <selection activeCell="H36" sqref="H36"/>
    </sheetView>
  </sheetViews>
  <sheetFormatPr defaultColWidth="11.421875" defaultRowHeight="12.75"/>
  <cols>
    <col min="1" max="1" width="8.28125" style="4" customWidth="1"/>
    <col min="2" max="2" width="20.00390625" style="4" customWidth="1"/>
    <col min="3" max="3" width="19.28125" style="4" customWidth="1"/>
    <col min="4" max="4" width="19.421875" style="4" customWidth="1"/>
    <col min="5" max="5" width="0.9921875" style="4" customWidth="1"/>
    <col min="6" max="6" width="5.7109375" style="13" customWidth="1"/>
    <col min="7" max="7" width="19.421875" style="4" customWidth="1"/>
    <col min="8" max="8" width="5.7109375" style="4" customWidth="1"/>
    <col min="9" max="9" width="20.140625" style="4" customWidth="1"/>
    <col min="10" max="10" width="5.7109375" style="13" customWidth="1"/>
    <col min="11" max="11" width="19.8515625" style="4" customWidth="1"/>
    <col min="12" max="12" width="5.7109375" style="4" customWidth="1"/>
    <col min="13" max="13" width="19.421875" style="4" customWidth="1"/>
    <col min="14" max="14" width="29.140625" style="4" customWidth="1"/>
    <col min="15" max="15" width="11.57421875" style="4" bestFit="1" customWidth="1"/>
    <col min="16" max="16384" width="11.421875" style="4" customWidth="1"/>
  </cols>
  <sheetData>
    <row r="1" ht="12.75"/>
    <row r="2" ht="12.75"/>
    <row r="3" ht="12.75"/>
    <row r="4" ht="12.75"/>
    <row r="5" spans="4:13" ht="12.75">
      <c r="D5" s="140" t="s">
        <v>14</v>
      </c>
      <c r="E5" s="18"/>
      <c r="F5" s="28"/>
      <c r="G5" s="138" t="s">
        <v>2</v>
      </c>
      <c r="H5" s="138"/>
      <c r="I5" s="138"/>
      <c r="J5" s="33"/>
      <c r="K5" s="138" t="s">
        <v>3</v>
      </c>
      <c r="L5" s="138"/>
      <c r="M5" s="138"/>
    </row>
    <row r="6" spans="4:13" ht="13.5" thickBot="1">
      <c r="D6" s="141"/>
      <c r="E6" s="18"/>
      <c r="F6" s="139" t="s">
        <v>15</v>
      </c>
      <c r="G6" s="138"/>
      <c r="H6" s="138" t="s">
        <v>16</v>
      </c>
      <c r="I6" s="138"/>
      <c r="J6" s="138" t="s">
        <v>17</v>
      </c>
      <c r="K6" s="138"/>
      <c r="L6" s="138" t="s">
        <v>18</v>
      </c>
      <c r="M6" s="138"/>
    </row>
    <row r="7" spans="4:25" ht="38.25">
      <c r="D7" s="96" t="s">
        <v>20</v>
      </c>
      <c r="E7" s="19"/>
      <c r="F7" s="129" t="s">
        <v>81</v>
      </c>
      <c r="G7" s="107" t="s">
        <v>21</v>
      </c>
      <c r="H7" s="129" t="s">
        <v>81</v>
      </c>
      <c r="I7" s="97" t="s">
        <v>22</v>
      </c>
      <c r="J7" s="129" t="s">
        <v>81</v>
      </c>
      <c r="K7" s="97" t="s">
        <v>23</v>
      </c>
      <c r="L7" s="129" t="s">
        <v>81</v>
      </c>
      <c r="M7" s="97" t="s">
        <v>22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5" customHeight="1">
      <c r="B8" s="134" t="s">
        <v>25</v>
      </c>
      <c r="C8" s="101" t="s">
        <v>19</v>
      </c>
      <c r="D8" s="102">
        <v>0.25</v>
      </c>
      <c r="E8" s="105"/>
      <c r="F8" s="130"/>
      <c r="G8" s="59">
        <v>0.21875</v>
      </c>
      <c r="H8" s="130"/>
      <c r="I8" s="26">
        <v>0.20833333333333334</v>
      </c>
      <c r="J8" s="130"/>
      <c r="K8" s="26">
        <v>0.21875</v>
      </c>
      <c r="L8" s="130"/>
      <c r="M8" s="26">
        <v>0.20833333333333334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3.5" thickBot="1">
      <c r="B9" s="135"/>
      <c r="C9" s="100" t="s">
        <v>24</v>
      </c>
      <c r="D9" s="60">
        <f>140*D8</f>
        <v>35</v>
      </c>
      <c r="E9" s="106"/>
      <c r="F9" s="131"/>
      <c r="G9" s="60">
        <f>G8*(140+35)</f>
        <v>38.28125</v>
      </c>
      <c r="H9" s="131"/>
      <c r="I9" s="27">
        <f>I8*(147+37)</f>
        <v>38.333333333333336</v>
      </c>
      <c r="J9" s="131"/>
      <c r="K9" s="27">
        <f>K8*(140+35)</f>
        <v>38.28125</v>
      </c>
      <c r="L9" s="131"/>
      <c r="M9" s="27">
        <f>M8*(147+37)</f>
        <v>38.333333333333336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0.5" customHeight="1">
      <c r="B10" s="34"/>
      <c r="C10" s="103"/>
      <c r="D10" s="104"/>
      <c r="E10" s="29"/>
      <c r="F10" s="108"/>
      <c r="G10" s="35"/>
      <c r="H10" s="36"/>
      <c r="I10" s="35"/>
      <c r="J10" s="36"/>
      <c r="K10" s="35"/>
      <c r="L10" s="35"/>
      <c r="M10" s="35"/>
      <c r="N10" s="1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.75">
      <c r="B11" s="1" t="s">
        <v>26</v>
      </c>
      <c r="C11" s="37">
        <v>0.08333333333333333</v>
      </c>
      <c r="D11" s="38">
        <f aca="true" t="shared" si="0" ref="D11:D17">C11*_140_jours_d_école</f>
        <v>11.666666666666666</v>
      </c>
      <c r="E11" s="39"/>
      <c r="F11" s="40">
        <v>0.08333333333333333</v>
      </c>
      <c r="G11" s="38">
        <f>F11*(_140_jours_d_école)</f>
        <v>11.666666666666666</v>
      </c>
      <c r="H11" s="40">
        <v>0.08333333333333333</v>
      </c>
      <c r="I11" s="38">
        <f>H11*(_147_jours_d_école)</f>
        <v>12.25</v>
      </c>
      <c r="J11" s="40">
        <v>0.08333333333333333</v>
      </c>
      <c r="K11" s="38">
        <f aca="true" t="shared" si="1" ref="K11:K17">J11*(_140_jours_d_école+35)</f>
        <v>14.583333333333332</v>
      </c>
      <c r="L11" s="30">
        <v>0.08333333333333333</v>
      </c>
      <c r="M11" s="38">
        <f aca="true" t="shared" si="2" ref="M11:M17">L11*(_147_jours_d_école+37)</f>
        <v>15.333333333333332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2.75">
      <c r="B12" s="1" t="s">
        <v>36</v>
      </c>
      <c r="C12" s="37">
        <v>0.2708333333333333</v>
      </c>
      <c r="D12" s="38">
        <f t="shared" si="0"/>
        <v>37.916666666666664</v>
      </c>
      <c r="E12" s="39"/>
      <c r="F12" s="28"/>
      <c r="G12" s="27">
        <f>D12</f>
        <v>37.916666666666664</v>
      </c>
      <c r="H12" s="30"/>
      <c r="I12" s="38">
        <f>D12</f>
        <v>37.916666666666664</v>
      </c>
      <c r="J12" s="30">
        <v>0.2708333333333333</v>
      </c>
      <c r="K12" s="38">
        <f t="shared" si="1"/>
        <v>47.39583333333333</v>
      </c>
      <c r="L12" s="30">
        <v>0.2708333333333333</v>
      </c>
      <c r="M12" s="38">
        <f t="shared" si="2"/>
        <v>49.83333333333333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2.75">
      <c r="B13" s="1" t="s">
        <v>27</v>
      </c>
      <c r="C13" s="37">
        <v>0.0625</v>
      </c>
      <c r="D13" s="38">
        <f t="shared" si="0"/>
        <v>8.75</v>
      </c>
      <c r="E13" s="39"/>
      <c r="F13" s="40">
        <v>0.0625</v>
      </c>
      <c r="G13" s="38">
        <f>F13*(_140_jours_d_école+35)</f>
        <v>10.9375</v>
      </c>
      <c r="H13" s="40">
        <v>0.0625</v>
      </c>
      <c r="I13" s="38">
        <f>H13*(_147_jours_d_école+37)</f>
        <v>11.5</v>
      </c>
      <c r="J13" s="40">
        <v>0.0625</v>
      </c>
      <c r="K13" s="38">
        <f t="shared" si="1"/>
        <v>10.9375</v>
      </c>
      <c r="L13" s="30">
        <v>0.0625</v>
      </c>
      <c r="M13" s="38">
        <f t="shared" si="2"/>
        <v>11.5</v>
      </c>
      <c r="N13" s="2" t="s">
        <v>58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25.5">
      <c r="B14" s="41" t="s">
        <v>28</v>
      </c>
      <c r="C14" s="37">
        <v>0.08333333333333333</v>
      </c>
      <c r="D14" s="38">
        <f t="shared" si="0"/>
        <v>11.666666666666666</v>
      </c>
      <c r="E14" s="39"/>
      <c r="F14" s="40">
        <v>0.11458333333333333</v>
      </c>
      <c r="G14" s="38">
        <f>F14*(_140_jours_d_école)</f>
        <v>16.041666666666664</v>
      </c>
      <c r="H14" s="40">
        <v>0.125</v>
      </c>
      <c r="I14" s="38">
        <f>H14*(_147_jours_d_école+37)</f>
        <v>23</v>
      </c>
      <c r="J14" s="40">
        <v>0.11458333333333333</v>
      </c>
      <c r="K14" s="38">
        <f t="shared" si="1"/>
        <v>20.052083333333332</v>
      </c>
      <c r="L14" s="30">
        <v>0.125</v>
      </c>
      <c r="M14" s="38">
        <f t="shared" si="2"/>
        <v>23</v>
      </c>
      <c r="N14" s="2" t="s">
        <v>63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ht="38.25">
      <c r="B15" s="41" t="s">
        <v>37</v>
      </c>
      <c r="C15" s="37">
        <v>0.08333333333333333</v>
      </c>
      <c r="D15" s="38">
        <f t="shared" si="0"/>
        <v>11.666666666666666</v>
      </c>
      <c r="E15" s="39"/>
      <c r="F15" s="40">
        <v>0.08333333333333333</v>
      </c>
      <c r="G15" s="38">
        <f>F15*(_140_jours_d_école+35)</f>
        <v>14.583333333333332</v>
      </c>
      <c r="H15" s="40">
        <v>0.08333333333333333</v>
      </c>
      <c r="I15" s="38">
        <f>H15*(_147_jours_d_école+37)</f>
        <v>15.333333333333332</v>
      </c>
      <c r="J15" s="40">
        <v>0.08333333333333333</v>
      </c>
      <c r="K15" s="38">
        <f t="shared" si="1"/>
        <v>14.583333333333332</v>
      </c>
      <c r="L15" s="30">
        <v>0.08333333333333333</v>
      </c>
      <c r="M15" s="38">
        <f t="shared" si="2"/>
        <v>15.333333333333332</v>
      </c>
      <c r="N15" s="2" t="s">
        <v>59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2.75">
      <c r="B16" s="41" t="s">
        <v>7</v>
      </c>
      <c r="C16" s="37">
        <v>0.0625</v>
      </c>
      <c r="D16" s="38">
        <f t="shared" si="0"/>
        <v>8.75</v>
      </c>
      <c r="E16" s="39"/>
      <c r="F16" s="40">
        <v>0.0625</v>
      </c>
      <c r="G16" s="38">
        <f>F16*(_140_jours_d_école+35)</f>
        <v>10.9375</v>
      </c>
      <c r="H16" s="40">
        <f>C16</f>
        <v>0.0625</v>
      </c>
      <c r="I16" s="38">
        <f>H16*(_147_jours_d_école+37)</f>
        <v>11.5</v>
      </c>
      <c r="J16" s="40">
        <f>C16</f>
        <v>0.0625</v>
      </c>
      <c r="K16" s="38">
        <f t="shared" si="1"/>
        <v>10.9375</v>
      </c>
      <c r="L16" s="30">
        <f>C16</f>
        <v>0.0625</v>
      </c>
      <c r="M16" s="38">
        <f t="shared" si="2"/>
        <v>11.5</v>
      </c>
      <c r="N16" s="2" t="s">
        <v>60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25.5">
      <c r="B17" s="41" t="s">
        <v>41</v>
      </c>
      <c r="C17" s="37">
        <v>0.20833333333333334</v>
      </c>
      <c r="D17" s="38">
        <f t="shared" si="0"/>
        <v>29.166666666666668</v>
      </c>
      <c r="E17" s="39"/>
      <c r="F17" s="40">
        <f>C17</f>
        <v>0.20833333333333334</v>
      </c>
      <c r="G17" s="38">
        <f>F17*(_140_jours_d_école+35)</f>
        <v>36.458333333333336</v>
      </c>
      <c r="H17" s="40">
        <f>C17</f>
        <v>0.20833333333333334</v>
      </c>
      <c r="I17" s="38">
        <f>H17*(_147_jours_d_école+37)</f>
        <v>38.333333333333336</v>
      </c>
      <c r="J17" s="40">
        <f>C17</f>
        <v>0.20833333333333334</v>
      </c>
      <c r="K17" s="38">
        <f t="shared" si="1"/>
        <v>36.458333333333336</v>
      </c>
      <c r="L17" s="30">
        <f>C17</f>
        <v>0.20833333333333334</v>
      </c>
      <c r="M17" s="38">
        <f t="shared" si="2"/>
        <v>38.333333333333336</v>
      </c>
      <c r="N17" s="2" t="s">
        <v>61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2.75">
      <c r="B18" s="41" t="s">
        <v>42</v>
      </c>
      <c r="C18" s="37"/>
      <c r="D18" s="38"/>
      <c r="E18" s="39"/>
      <c r="F18" s="40"/>
      <c r="G18" s="38"/>
      <c r="H18" s="40"/>
      <c r="I18" s="38"/>
      <c r="J18" s="40"/>
      <c r="K18" s="38"/>
      <c r="L18" s="30"/>
      <c r="M18" s="38"/>
      <c r="N18" s="2" t="s">
        <v>62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4:25" ht="12.75">
      <c r="D19" s="11"/>
      <c r="E19" s="20"/>
      <c r="G19" s="10"/>
      <c r="H19" s="14"/>
      <c r="I19" s="10"/>
      <c r="J19" s="14"/>
      <c r="K19" s="10"/>
      <c r="L19" s="10"/>
      <c r="M19" s="1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0" customHeight="1">
      <c r="A20" s="136" t="s">
        <v>4</v>
      </c>
      <c r="B20" s="137"/>
      <c r="C20" s="42"/>
      <c r="D20" s="42"/>
      <c r="E20" s="43"/>
      <c r="F20" s="132" t="s">
        <v>44</v>
      </c>
      <c r="G20" s="133"/>
      <c r="H20" s="132" t="s">
        <v>44</v>
      </c>
      <c r="I20" s="133"/>
      <c r="J20" s="132" t="s">
        <v>44</v>
      </c>
      <c r="K20" s="133"/>
      <c r="L20" s="132" t="s">
        <v>44</v>
      </c>
      <c r="M20" s="133"/>
      <c r="N20" s="4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8.25">
      <c r="A21" s="45"/>
      <c r="B21" s="17" t="s">
        <v>5</v>
      </c>
      <c r="C21" s="12"/>
      <c r="D21" s="90"/>
      <c r="E21" s="21"/>
      <c r="F21" s="52">
        <f>(G9-$D$9)/$D$9</f>
        <v>0.09375</v>
      </c>
      <c r="G21" s="88"/>
      <c r="H21" s="52">
        <f>(I9-$D$9)/$D$9</f>
        <v>0.0952380952380953</v>
      </c>
      <c r="I21" s="46" t="s">
        <v>43</v>
      </c>
      <c r="J21" s="52">
        <f>(K9-$D$9)/$D$9</f>
        <v>0.09375</v>
      </c>
      <c r="K21" s="46"/>
      <c r="L21" s="52">
        <f>(M9-$D$9)/$D$9</f>
        <v>0.0952380952380953</v>
      </c>
      <c r="M21" s="46"/>
      <c r="N21" s="46" t="s">
        <v>29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5.5">
      <c r="A22" s="45"/>
      <c r="B22" s="17" t="s">
        <v>6</v>
      </c>
      <c r="C22" s="16" t="s">
        <v>32</v>
      </c>
      <c r="D22" s="90"/>
      <c r="E22" s="21"/>
      <c r="F22" s="52">
        <f>(G14-$D$14)/$D$14</f>
        <v>0.3749999999999999</v>
      </c>
      <c r="G22" s="88"/>
      <c r="H22" s="52">
        <f>(I14-$D$14)/$D$14</f>
        <v>0.9714285714285715</v>
      </c>
      <c r="I22" s="46"/>
      <c r="J22" s="52">
        <f>(K14-$D$14)/$D$14</f>
        <v>0.71875</v>
      </c>
      <c r="K22" s="46"/>
      <c r="L22" s="52">
        <f>(M14-$D$14)/$D$14</f>
        <v>0.9714285714285715</v>
      </c>
      <c r="M22" s="46"/>
      <c r="N22" s="4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5.5" customHeight="1">
      <c r="A23" s="45"/>
      <c r="B23" s="17" t="s">
        <v>12</v>
      </c>
      <c r="C23" s="16" t="s">
        <v>34</v>
      </c>
      <c r="D23" s="90"/>
      <c r="E23" s="22"/>
      <c r="F23" s="52">
        <f>((G12+G13)-($D$12+$D$13))/($D$12+$D$13)</f>
        <v>0.046875</v>
      </c>
      <c r="G23" s="88"/>
      <c r="H23" s="52">
        <f>((I12+I13)-($D$12+$D$13))/($D$12+$D$13)</f>
        <v>0.058928571428571434</v>
      </c>
      <c r="I23" s="46"/>
      <c r="J23" s="52">
        <f>((K12+K13)-($D$12+$D$13))/($D$12+$D$13)</f>
        <v>0.24999999999999997</v>
      </c>
      <c r="K23" s="46"/>
      <c r="L23" s="52">
        <f>((M12+M13)-($D$12+$D$13))/($D$12+$D$13)</f>
        <v>0.3142857142857142</v>
      </c>
      <c r="M23" s="46"/>
      <c r="N23" s="4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8.25" customHeight="1">
      <c r="A24" s="45"/>
      <c r="B24" s="17" t="s">
        <v>13</v>
      </c>
      <c r="C24" s="31" t="s">
        <v>35</v>
      </c>
      <c r="D24" s="90"/>
      <c r="E24" s="32"/>
      <c r="F24" s="52"/>
      <c r="G24" s="88"/>
      <c r="H24" s="55"/>
      <c r="I24" s="53">
        <f>G24</f>
        <v>0</v>
      </c>
      <c r="J24" s="52">
        <f>(K12-$D$12)/$D$12</f>
        <v>0.24999999999999994</v>
      </c>
      <c r="K24" s="46" t="s">
        <v>33</v>
      </c>
      <c r="L24" s="52">
        <f>(M12-$D$12)/$D$12</f>
        <v>0.3142857142857142</v>
      </c>
      <c r="M24" s="46" t="s">
        <v>33</v>
      </c>
      <c r="N24" s="4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5.5">
      <c r="A25" s="45"/>
      <c r="B25" s="17" t="s">
        <v>7</v>
      </c>
      <c r="C25" s="16" t="s">
        <v>38</v>
      </c>
      <c r="D25" s="90"/>
      <c r="E25" s="22"/>
      <c r="F25" s="52">
        <f>(G16-$D$16)/$D$16</f>
        <v>0.25</v>
      </c>
      <c r="G25" s="88"/>
      <c r="H25" s="52">
        <f>(I16-$D$16)/$D$16</f>
        <v>0.3142857142857143</v>
      </c>
      <c r="I25" s="46"/>
      <c r="J25" s="52">
        <f>(K16-$D$16)/$D$16</f>
        <v>0.25</v>
      </c>
      <c r="K25" s="46"/>
      <c r="L25" s="52">
        <f>(M16-$D$16)/$D$16</f>
        <v>0.3142857142857143</v>
      </c>
      <c r="M25" s="46"/>
      <c r="N25" s="4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45"/>
      <c r="B26" s="5" t="s">
        <v>8</v>
      </c>
      <c r="C26" s="2" t="s">
        <v>39</v>
      </c>
      <c r="D26" s="90"/>
      <c r="E26" s="21"/>
      <c r="F26" s="52">
        <f>(G15-$D$15)/$D$15</f>
        <v>0.24999999999999997</v>
      </c>
      <c r="G26" s="88"/>
      <c r="H26" s="52">
        <f>(I15-$D$15)/$D$15</f>
        <v>0.3142857142857142</v>
      </c>
      <c r="I26" s="46"/>
      <c r="J26" s="52">
        <f>(K15-$D$15)/$D$15</f>
        <v>0.24999999999999997</v>
      </c>
      <c r="K26" s="46"/>
      <c r="L26" s="52">
        <f>(M15-$D$15)/$D$15</f>
        <v>0.3142857142857142</v>
      </c>
      <c r="M26" s="46"/>
      <c r="N26" s="4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5.5">
      <c r="A27" s="45"/>
      <c r="B27" s="5" t="s">
        <v>9</v>
      </c>
      <c r="C27" s="2" t="s">
        <v>40</v>
      </c>
      <c r="D27" s="90"/>
      <c r="E27" s="21"/>
      <c r="F27" s="54">
        <f>(G17-$D$17)/$D$17</f>
        <v>0.25000000000000006</v>
      </c>
      <c r="G27" s="89"/>
      <c r="H27" s="54">
        <f>(I17-$D$17)/$D$17</f>
        <v>0.31428571428571433</v>
      </c>
      <c r="I27" s="51"/>
      <c r="J27" s="54">
        <f>(K17-$D$17)/$D$17</f>
        <v>0.25000000000000006</v>
      </c>
      <c r="K27" s="51"/>
      <c r="L27" s="54">
        <f>(M17-$D$17)/$D$17</f>
        <v>0.31428571428571433</v>
      </c>
      <c r="M27" s="51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45"/>
      <c r="B28" s="5"/>
      <c r="C28" s="5"/>
      <c r="D28" s="2"/>
      <c r="E28" s="21"/>
      <c r="F28" s="9"/>
      <c r="G28" s="2"/>
      <c r="H28" s="2"/>
      <c r="I28" s="2"/>
      <c r="J28" s="9"/>
      <c r="K28" s="2"/>
      <c r="L28" s="2"/>
      <c r="M28" s="2"/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47"/>
      <c r="B29" s="48"/>
      <c r="C29" s="48"/>
      <c r="D29" s="48"/>
      <c r="E29" s="49"/>
      <c r="F29" s="50"/>
      <c r="G29" s="48"/>
      <c r="H29" s="48"/>
      <c r="I29" s="48"/>
      <c r="J29" s="50"/>
      <c r="K29" s="48"/>
      <c r="L29" s="48"/>
      <c r="M29" s="48"/>
      <c r="N29" s="5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.75">
      <c r="B30" s="2"/>
      <c r="C30" s="2"/>
      <c r="D30" s="2"/>
      <c r="E30" s="87"/>
      <c r="F30" s="9"/>
      <c r="G30" s="2"/>
      <c r="H30" s="2"/>
      <c r="I30" s="2"/>
      <c r="J30" s="9"/>
      <c r="K30" s="2"/>
      <c r="L30" s="23"/>
      <c r="M30" s="2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.75">
      <c r="B31" s="2"/>
      <c r="C31" s="2"/>
      <c r="D31" s="2"/>
      <c r="E31" s="87"/>
      <c r="F31" s="9"/>
      <c r="G31" s="2"/>
      <c r="H31" s="2"/>
      <c r="I31" s="2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.75">
      <c r="B32" s="2"/>
      <c r="C32" s="2"/>
      <c r="D32" s="2"/>
      <c r="E32" s="87"/>
      <c r="F32" s="9"/>
      <c r="G32" s="2"/>
      <c r="H32" s="2"/>
      <c r="I32" s="2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.75">
      <c r="B33" s="2"/>
      <c r="C33" s="2"/>
      <c r="D33" s="2"/>
      <c r="E33" s="87"/>
      <c r="F33" s="9"/>
      <c r="G33" s="2"/>
      <c r="H33" s="2"/>
      <c r="I33" s="2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.75">
      <c r="B34" s="2"/>
      <c r="C34" s="2"/>
      <c r="D34" s="2"/>
      <c r="E34" s="87"/>
      <c r="F34" s="9"/>
      <c r="G34" s="2"/>
      <c r="H34" s="2"/>
      <c r="I34" s="2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.75">
      <c r="B35" s="2"/>
      <c r="C35" s="2"/>
      <c r="D35" s="2"/>
      <c r="E35" s="2"/>
      <c r="F35" s="9"/>
      <c r="G35" s="2"/>
      <c r="H35" s="2"/>
      <c r="I35" s="2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.75">
      <c r="B36" s="2"/>
      <c r="C36" s="2"/>
      <c r="D36" s="2"/>
      <c r="E36" s="2"/>
      <c r="F36" s="9"/>
      <c r="G36" s="2"/>
      <c r="H36" s="2"/>
      <c r="I36" s="2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.75">
      <c r="B37" s="2"/>
      <c r="C37" s="2"/>
      <c r="D37" s="2"/>
      <c r="E37" s="2"/>
      <c r="F37" s="9"/>
      <c r="G37" s="2"/>
      <c r="H37" s="2"/>
      <c r="I37" s="2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.75">
      <c r="B38" s="2"/>
      <c r="C38" s="2"/>
      <c r="D38" s="2"/>
      <c r="E38" s="2"/>
      <c r="F38" s="9"/>
      <c r="G38" s="2"/>
      <c r="H38" s="2"/>
      <c r="I38" s="2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2.75">
      <c r="B39" s="2"/>
      <c r="C39" s="2"/>
      <c r="D39" s="2"/>
      <c r="E39" s="2"/>
      <c r="F39" s="9"/>
      <c r="G39" s="2"/>
      <c r="H39" s="2"/>
      <c r="I39" s="2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.75">
      <c r="B40" s="2"/>
      <c r="C40" s="2"/>
      <c r="D40" s="2"/>
      <c r="E40" s="2"/>
      <c r="F40" s="9"/>
      <c r="G40" s="2"/>
      <c r="H40" s="2"/>
      <c r="I40" s="2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.75">
      <c r="B41" s="2"/>
      <c r="C41" s="2"/>
      <c r="D41" s="2"/>
      <c r="E41" s="2"/>
      <c r="F41" s="9"/>
      <c r="G41" s="2"/>
      <c r="H41" s="2"/>
      <c r="I41" s="2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2.75">
      <c r="B42" s="2"/>
      <c r="C42" s="2"/>
      <c r="D42" s="2"/>
      <c r="E42" s="2"/>
      <c r="F42" s="9"/>
      <c r="G42" s="2"/>
      <c r="H42" s="2"/>
      <c r="I42" s="2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2.75">
      <c r="B43" s="2"/>
      <c r="C43" s="2"/>
      <c r="D43" s="2"/>
      <c r="E43" s="2"/>
      <c r="F43" s="9"/>
      <c r="G43" s="2"/>
      <c r="H43" s="2"/>
      <c r="I43" s="2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12.75">
      <c r="B44" s="2"/>
      <c r="C44" s="2"/>
      <c r="D44" s="2"/>
      <c r="E44" s="2"/>
      <c r="F44" s="9"/>
      <c r="G44" s="2"/>
      <c r="H44" s="2"/>
      <c r="I44" s="2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.75">
      <c r="B45" s="2"/>
      <c r="C45" s="2"/>
      <c r="D45" s="2"/>
      <c r="E45" s="2"/>
      <c r="F45" s="9"/>
      <c r="G45" s="2"/>
      <c r="H45" s="2"/>
      <c r="I45" s="2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.75">
      <c r="B46" s="2"/>
      <c r="C46" s="2"/>
      <c r="D46" s="2"/>
      <c r="E46" s="2"/>
      <c r="F46" s="9"/>
      <c r="G46" s="2"/>
      <c r="H46" s="2"/>
      <c r="I46" s="2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.75">
      <c r="B47" s="2"/>
      <c r="C47" s="2"/>
      <c r="D47" s="2"/>
      <c r="E47" s="2"/>
      <c r="F47" s="9"/>
      <c r="G47" s="2"/>
      <c r="H47" s="2"/>
      <c r="I47" s="2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sheetProtection/>
  <mergeCells count="17">
    <mergeCell ref="G5:I5"/>
    <mergeCell ref="K5:M5"/>
    <mergeCell ref="F6:G6"/>
    <mergeCell ref="H6:I6"/>
    <mergeCell ref="D5:D6"/>
    <mergeCell ref="J6:K6"/>
    <mergeCell ref="L6:M6"/>
    <mergeCell ref="J7:J9"/>
    <mergeCell ref="L7:L9"/>
    <mergeCell ref="F20:G20"/>
    <mergeCell ref="H20:I20"/>
    <mergeCell ref="B8:B9"/>
    <mergeCell ref="F7:F9"/>
    <mergeCell ref="H7:H9"/>
    <mergeCell ref="J20:K20"/>
    <mergeCell ref="L20:M20"/>
    <mergeCell ref="A20:B20"/>
  </mergeCells>
  <printOptions/>
  <pageMargins left="0.62" right="0.6" top="0.78" bottom="0.76" header="0.41" footer="0.39"/>
  <pageSetup horizontalDpi="600" verticalDpi="600" orientation="landscape" paperSize="8" r:id="rId4"/>
  <headerFooter alignWithMargins="0">
    <oddHeader>&amp;L&amp;9Formation et Territoires
Anticiper la réforme des rythmes scolaires&amp;R&amp;F - &amp;A</oddHeader>
    <oddFooter>&amp;Lwww.david-documents.fr&amp;RLe &amp;D - &amp;P / &amp;N
Tous droits réservés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PageLayoutView="0" workbookViewId="0" topLeftCell="A7">
      <selection activeCell="B3" sqref="B3"/>
    </sheetView>
  </sheetViews>
  <sheetFormatPr defaultColWidth="11.421875" defaultRowHeight="12.75"/>
  <cols>
    <col min="1" max="1" width="11.421875" style="4" customWidth="1"/>
    <col min="2" max="2" width="22.57421875" style="4" customWidth="1"/>
    <col min="3" max="3" width="19.00390625" style="4" customWidth="1"/>
    <col min="4" max="4" width="19.421875" style="4" customWidth="1"/>
    <col min="5" max="5" width="9.421875" style="70" customWidth="1"/>
    <col min="6" max="6" width="1.7109375" style="4" customWidth="1"/>
    <col min="7" max="10" width="20.140625" style="4" customWidth="1"/>
    <col min="11" max="11" width="30.57421875" style="4" customWidth="1"/>
    <col min="12" max="12" width="11.57421875" style="4" bestFit="1" customWidth="1"/>
    <col min="13" max="16384" width="11.421875" style="4" customWidth="1"/>
  </cols>
  <sheetData>
    <row r="1" spans="6:10" ht="12.75">
      <c r="F1" s="61" t="s">
        <v>45</v>
      </c>
      <c r="G1" s="142" t="s">
        <v>2</v>
      </c>
      <c r="H1" s="142"/>
      <c r="I1" s="142" t="s">
        <v>3</v>
      </c>
      <c r="J1" s="143"/>
    </row>
    <row r="2" spans="1:10" ht="12.75">
      <c r="A2" s="152" t="s">
        <v>87</v>
      </c>
      <c r="B2" s="154">
        <v>41369</v>
      </c>
      <c r="D2" s="146" t="s">
        <v>14</v>
      </c>
      <c r="E2" s="147"/>
      <c r="F2" s="67"/>
      <c r="G2" s="57" t="s">
        <v>15</v>
      </c>
      <c r="H2" s="3" t="s">
        <v>16</v>
      </c>
      <c r="I2" s="3" t="s">
        <v>17</v>
      </c>
      <c r="J2" s="3" t="s">
        <v>18</v>
      </c>
    </row>
    <row r="3" spans="2:22" ht="38.25">
      <c r="B3" s="153"/>
      <c r="D3" s="1" t="s">
        <v>20</v>
      </c>
      <c r="E3" s="71"/>
      <c r="F3" s="66"/>
      <c r="G3" s="58" t="s">
        <v>85</v>
      </c>
      <c r="H3" s="24" t="s">
        <v>22</v>
      </c>
      <c r="I3" s="24" t="s">
        <v>86</v>
      </c>
      <c r="J3" s="24" t="s">
        <v>22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4:22" ht="12.75">
      <c r="D4" s="1"/>
      <c r="E4" s="85">
        <v>140</v>
      </c>
      <c r="F4" s="66"/>
      <c r="G4" s="85">
        <v>176</v>
      </c>
      <c r="H4" s="85">
        <f>147+37</f>
        <v>184</v>
      </c>
      <c r="I4" s="85">
        <v>176</v>
      </c>
      <c r="J4" s="85">
        <f>147+37</f>
        <v>184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3:22" ht="12.75">
      <c r="C5" s="98" t="s">
        <v>19</v>
      </c>
      <c r="D5" s="25">
        <v>0.25</v>
      </c>
      <c r="E5" s="72"/>
      <c r="F5" s="68"/>
      <c r="G5" s="59">
        <v>0.21875</v>
      </c>
      <c r="H5" s="26">
        <v>0.20833333333333334</v>
      </c>
      <c r="I5" s="26">
        <v>0.21875</v>
      </c>
      <c r="J5" s="26">
        <v>0.20833333333333334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3:22" ht="12.75">
      <c r="C6" s="98" t="s">
        <v>24</v>
      </c>
      <c r="D6" s="60">
        <f>D5*E4</f>
        <v>35</v>
      </c>
      <c r="E6" s="72"/>
      <c r="F6" s="62"/>
      <c r="G6" s="60">
        <f>G5*(140+35)</f>
        <v>38.28125</v>
      </c>
      <c r="H6" s="27">
        <f>H5*(147+37)</f>
        <v>38.333333333333336</v>
      </c>
      <c r="I6" s="27">
        <f>I5*(140+35)</f>
        <v>38.28125</v>
      </c>
      <c r="J6" s="27">
        <f>J5*(147+37)</f>
        <v>38.333333333333336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4:22" ht="15.75" customHeight="1">
      <c r="D7" s="91" t="s">
        <v>64</v>
      </c>
      <c r="E7" s="92" t="s">
        <v>65</v>
      </c>
      <c r="F7" s="62"/>
      <c r="G7" s="91" t="s">
        <v>66</v>
      </c>
      <c r="H7" s="91" t="s">
        <v>67</v>
      </c>
      <c r="I7" s="91" t="s">
        <v>68</v>
      </c>
      <c r="J7" s="91" t="s">
        <v>69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7" customHeight="1">
      <c r="A8" s="145" t="s">
        <v>4</v>
      </c>
      <c r="B8" s="145"/>
      <c r="C8" s="99" t="s">
        <v>11</v>
      </c>
      <c r="D8" s="5"/>
      <c r="E8" s="73" t="s">
        <v>46</v>
      </c>
      <c r="F8" s="63"/>
      <c r="G8" s="148" t="s">
        <v>79</v>
      </c>
      <c r="H8" s="149"/>
      <c r="I8" s="149"/>
      <c r="J8" s="1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5.5">
      <c r="B9" s="5" t="s">
        <v>5</v>
      </c>
      <c r="C9" s="7">
        <v>24</v>
      </c>
      <c r="D9" s="2"/>
      <c r="F9" s="64"/>
      <c r="G9" s="56">
        <f>'A - Organisation'!F21</f>
        <v>0.09375</v>
      </c>
      <c r="H9" s="56">
        <f>'A - Organisation'!H21</f>
        <v>0.0952380952380953</v>
      </c>
      <c r="I9" s="56">
        <f>'A - Organisation'!J21</f>
        <v>0.09375</v>
      </c>
      <c r="J9" s="56">
        <f>'A - Organisation'!L21</f>
        <v>0.0952380952380953</v>
      </c>
      <c r="K9" s="2" t="s">
        <v>80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12.75">
      <c r="B10" s="5"/>
      <c r="C10" s="2"/>
      <c r="D10" s="93">
        <f>C9*35*52*E10</f>
        <v>174720</v>
      </c>
      <c r="E10" s="74">
        <v>4</v>
      </c>
      <c r="F10" s="65"/>
      <c r="G10" s="6">
        <f>D10</f>
        <v>174720</v>
      </c>
      <c r="H10" s="6">
        <f>D10</f>
        <v>174720</v>
      </c>
      <c r="I10" s="6">
        <f>D10</f>
        <v>174720</v>
      </c>
      <c r="J10" s="6">
        <f>D10</f>
        <v>174720</v>
      </c>
      <c r="K10" s="2" t="s">
        <v>50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25.5">
      <c r="B11" s="5" t="s">
        <v>6</v>
      </c>
      <c r="C11" s="7">
        <v>21</v>
      </c>
      <c r="D11" s="2"/>
      <c r="E11" s="74"/>
      <c r="F11" s="64"/>
      <c r="G11" s="56">
        <f>'A - Organisation'!F22</f>
        <v>0.3749999999999999</v>
      </c>
      <c r="H11" s="56">
        <f>'A - Organisation'!H22</f>
        <v>0.9714285714285715</v>
      </c>
      <c r="I11" s="56">
        <f>'A - Organisation'!J22</f>
        <v>0.71875</v>
      </c>
      <c r="J11" s="56">
        <f>'A - Organisation'!L22</f>
        <v>0.9714285714285715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2.75">
      <c r="B12" s="5"/>
      <c r="C12" s="2"/>
      <c r="D12" s="93">
        <f>C11*35*52*E12</f>
        <v>171990</v>
      </c>
      <c r="E12" s="74">
        <v>4.5</v>
      </c>
      <c r="F12" s="65"/>
      <c r="G12" s="6">
        <f>$D$12*(1+G11)</f>
        <v>236486.25</v>
      </c>
      <c r="H12" s="6">
        <f>$D$12*(1+H11)</f>
        <v>339066</v>
      </c>
      <c r="I12" s="6">
        <f>$D$12*(1+I11)</f>
        <v>295607.8125</v>
      </c>
      <c r="J12" s="6">
        <f>$D$12*(1+J11)</f>
        <v>339066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25.5">
      <c r="B13" s="5" t="s">
        <v>12</v>
      </c>
      <c r="C13" s="7">
        <v>18</v>
      </c>
      <c r="D13" s="6"/>
      <c r="E13" s="74"/>
      <c r="F13" s="65"/>
      <c r="G13" s="56">
        <f>'A - Organisation'!F23</f>
        <v>0.046875</v>
      </c>
      <c r="H13" s="75">
        <f>'A - Organisation'!H23</f>
        <v>0.058928571428571434</v>
      </c>
      <c r="I13" s="56">
        <f>'A - Organisation'!J23</f>
        <v>0.24999999999999997</v>
      </c>
      <c r="J13" s="75">
        <f>'A - Organisation'!L23</f>
        <v>0.3142857142857142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2.75">
      <c r="B14" s="5"/>
      <c r="C14" s="2"/>
      <c r="D14" s="93">
        <f>C13*35*52*E14</f>
        <v>131040</v>
      </c>
      <c r="E14" s="74">
        <v>4</v>
      </c>
      <c r="F14" s="65"/>
      <c r="G14" s="6">
        <f>$D$14*(1+G13)</f>
        <v>137182.5</v>
      </c>
      <c r="H14" s="6">
        <f>$D$14*(1+H13)</f>
        <v>138762</v>
      </c>
      <c r="I14" s="6">
        <f>$D$14*(1+I13)</f>
        <v>163800</v>
      </c>
      <c r="J14" s="6">
        <f>$D$14*(1+J13)</f>
        <v>172224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25.5">
      <c r="B15" s="5" t="s">
        <v>13</v>
      </c>
      <c r="C15" s="7">
        <v>21</v>
      </c>
      <c r="D15" s="6"/>
      <c r="E15" s="74"/>
      <c r="F15" s="65"/>
      <c r="G15" s="6">
        <f>'A - Organisation'!G24</f>
        <v>0</v>
      </c>
      <c r="H15" s="6">
        <f>'A - Organisation'!I24</f>
        <v>0</v>
      </c>
      <c r="I15" s="56">
        <f>'A - Organisation'!J24</f>
        <v>0.24999999999999994</v>
      </c>
      <c r="J15" s="56">
        <f>'A - Organisation'!L24</f>
        <v>0.3142857142857142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2.75">
      <c r="B16" s="5"/>
      <c r="C16" s="7"/>
      <c r="D16" s="93">
        <f>C15*35*52*E16</f>
        <v>95550</v>
      </c>
      <c r="E16" s="74">
        <v>2.5</v>
      </c>
      <c r="F16" s="65"/>
      <c r="G16" s="6">
        <f>D16</f>
        <v>95550</v>
      </c>
      <c r="H16" s="6">
        <f>D16</f>
        <v>95550</v>
      </c>
      <c r="I16" s="6">
        <f>$D$16*(1+I15)</f>
        <v>119437.5</v>
      </c>
      <c r="J16" s="6">
        <f>$D$16*(1+J15)</f>
        <v>125580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25.5">
      <c r="B17" s="5" t="s">
        <v>7</v>
      </c>
      <c r="C17" s="7">
        <v>18</v>
      </c>
      <c r="D17" s="6"/>
      <c r="E17" s="74"/>
      <c r="F17" s="65"/>
      <c r="G17" s="56">
        <f>'A - Organisation'!F25</f>
        <v>0.25</v>
      </c>
      <c r="H17" s="56">
        <f>'A - Organisation'!H26</f>
        <v>0.3142857142857142</v>
      </c>
      <c r="I17" s="56">
        <f>'A - Organisation'!J25</f>
        <v>0.25</v>
      </c>
      <c r="J17" s="56">
        <f>'A - Organisation'!L25</f>
        <v>0.3142857142857143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12.75">
      <c r="B18" s="2"/>
      <c r="C18" s="2"/>
      <c r="D18" s="93">
        <v>116550</v>
      </c>
      <c r="E18" s="74" t="s">
        <v>82</v>
      </c>
      <c r="F18" s="65"/>
      <c r="G18" s="6">
        <f>$D$18*(1+G17)</f>
        <v>145687.5</v>
      </c>
      <c r="H18" s="6">
        <f>$D$18*(1+H17)</f>
        <v>153180</v>
      </c>
      <c r="I18" s="6">
        <f>$D$18*(1+I17)</f>
        <v>145687.5</v>
      </c>
      <c r="J18" s="6">
        <f>$D$18*(1+J17)</f>
        <v>153180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2.75">
      <c r="B19" s="151" t="s">
        <v>57</v>
      </c>
      <c r="C19" s="151"/>
      <c r="D19" s="76">
        <f>SUM(D9:D18)</f>
        <v>689850</v>
      </c>
      <c r="E19" s="77"/>
      <c r="F19" s="78"/>
      <c r="G19" s="76">
        <f>G10+G12+G14+G16+G18</f>
        <v>789626.25</v>
      </c>
      <c r="H19" s="76">
        <f>H10+H12+H14+H16+H18</f>
        <v>901278</v>
      </c>
      <c r="I19" s="76">
        <f>I10+I12+I14+I16+I18</f>
        <v>899252.8125</v>
      </c>
      <c r="J19" s="76">
        <f>J10+J12+J14+J16+J18</f>
        <v>964770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2.75">
      <c r="B20" s="2" t="s">
        <v>8</v>
      </c>
      <c r="C20" s="7">
        <v>18</v>
      </c>
      <c r="D20" s="2"/>
      <c r="E20" s="74"/>
      <c r="F20" s="64"/>
      <c r="G20" s="56">
        <f>'A - Organisation'!F26</f>
        <v>0.24999999999999997</v>
      </c>
      <c r="H20" s="56">
        <f>'A - Organisation'!H25</f>
        <v>0.3142857142857143</v>
      </c>
      <c r="I20" s="56">
        <f>'A - Organisation'!J26</f>
        <v>0.24999999999999997</v>
      </c>
      <c r="J20" s="56">
        <f>'A - Organisation'!L26</f>
        <v>0.3142857142857142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2.75">
      <c r="B21" s="2"/>
      <c r="C21" s="2"/>
      <c r="D21" s="79">
        <f>2*280*'B - Estim couts'!C20</f>
        <v>10080</v>
      </c>
      <c r="E21" s="74" t="s">
        <v>82</v>
      </c>
      <c r="F21" s="64"/>
      <c r="G21" s="6">
        <f>$D$21*(1+G20)</f>
        <v>12600</v>
      </c>
      <c r="H21" s="6">
        <f>$D$21*(1+H20)</f>
        <v>13248</v>
      </c>
      <c r="I21" s="6">
        <f>$D$21*(1+I20)</f>
        <v>12600</v>
      </c>
      <c r="J21" s="6">
        <f>$D$21*(1+J20)</f>
        <v>13248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2.75">
      <c r="B22" s="2" t="s">
        <v>9</v>
      </c>
      <c r="C22" s="7">
        <v>17</v>
      </c>
      <c r="D22" s="2"/>
      <c r="E22" s="74"/>
      <c r="F22" s="64"/>
      <c r="G22" s="56">
        <f>'A - Organisation'!F27</f>
        <v>0.25000000000000006</v>
      </c>
      <c r="H22" s="56">
        <f>'A - Organisation'!H27</f>
        <v>0.31428571428571433</v>
      </c>
      <c r="I22" s="56">
        <f>'A - Organisation'!J27</f>
        <v>0.25000000000000006</v>
      </c>
      <c r="J22" s="56">
        <f>'A - Organisation'!L27</f>
        <v>0.31428571428571433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2"/>
      <c r="C23" s="2"/>
      <c r="D23" s="79">
        <f>C22*4*700</f>
        <v>47600</v>
      </c>
      <c r="E23" s="74" t="s">
        <v>82</v>
      </c>
      <c r="F23" s="64"/>
      <c r="G23" s="6">
        <f>$D$23*(1+G22)</f>
        <v>59500</v>
      </c>
      <c r="H23" s="6">
        <f>$D$23*(1+H22)</f>
        <v>62560</v>
      </c>
      <c r="I23" s="6">
        <f>$D$23*(1+I22)</f>
        <v>59500</v>
      </c>
      <c r="J23" s="6">
        <f>$D$23*(1+J22)</f>
        <v>62560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2.75">
      <c r="B24" s="151" t="s">
        <v>1</v>
      </c>
      <c r="C24" s="151"/>
      <c r="D24" s="82">
        <f>D21+D23</f>
        <v>57680</v>
      </c>
      <c r="E24" s="80"/>
      <c r="F24" s="81"/>
      <c r="G24" s="82">
        <f>G21+G23</f>
        <v>72100</v>
      </c>
      <c r="H24" s="82">
        <f>H21+H23</f>
        <v>75808</v>
      </c>
      <c r="I24" s="82">
        <f>I21+I23</f>
        <v>72100</v>
      </c>
      <c r="J24" s="82">
        <f>J21+J23</f>
        <v>75808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8.75" customHeight="1">
      <c r="A25" s="145" t="s">
        <v>0</v>
      </c>
      <c r="B25" s="145"/>
      <c r="C25" s="5"/>
      <c r="D25" s="2"/>
      <c r="E25" s="74"/>
      <c r="F25" s="6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5" t="s">
        <v>10</v>
      </c>
      <c r="C26" s="8">
        <v>4.062</v>
      </c>
      <c r="D26" s="2"/>
      <c r="E26" s="74"/>
      <c r="F26" s="64"/>
      <c r="G26" s="2"/>
      <c r="H26" s="2"/>
      <c r="I26" s="6">
        <v>192356</v>
      </c>
      <c r="J26" s="6">
        <v>203348</v>
      </c>
      <c r="K26" s="2" t="s">
        <v>50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2.75">
      <c r="B27" s="83" t="s">
        <v>49</v>
      </c>
      <c r="C27" s="2"/>
      <c r="D27" s="94">
        <v>36000</v>
      </c>
      <c r="E27" s="74"/>
      <c r="F27" s="64"/>
      <c r="G27" s="84">
        <f>$D27/$E4*G4</f>
        <v>45257.14285714286</v>
      </c>
      <c r="H27" s="84">
        <f>$D27/$E4*H4</f>
        <v>47314.28571428572</v>
      </c>
      <c r="I27" s="84">
        <f>$D27/$E4*I4</f>
        <v>45257.14285714286</v>
      </c>
      <c r="J27" s="84">
        <f>$D27/$E4*J4</f>
        <v>47314.28571428572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>
      <c r="B28" s="83" t="s">
        <v>47</v>
      </c>
      <c r="C28" s="2"/>
      <c r="D28" s="95">
        <v>23000</v>
      </c>
      <c r="E28" s="74"/>
      <c r="F28" s="64"/>
      <c r="G28" s="84">
        <f>$D28/$D6*G6</f>
        <v>25156.25</v>
      </c>
      <c r="H28" s="84">
        <f>$D28/$D6*H6</f>
        <v>25190.47619047619</v>
      </c>
      <c r="I28" s="84">
        <f>$D28/$D6*I6</f>
        <v>25156.25</v>
      </c>
      <c r="J28" s="84">
        <f>$D28/$D6*J6</f>
        <v>25190.47619047619</v>
      </c>
      <c r="K28" s="2" t="s">
        <v>51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83" t="s">
        <v>48</v>
      </c>
      <c r="C29" s="2"/>
      <c r="D29" s="94">
        <v>46000</v>
      </c>
      <c r="E29" s="74"/>
      <c r="F29" s="64"/>
      <c r="G29" s="79">
        <f>D29</f>
        <v>46000</v>
      </c>
      <c r="H29" s="79">
        <f>D29</f>
        <v>46000</v>
      </c>
      <c r="I29" s="79">
        <f>D29</f>
        <v>46000</v>
      </c>
      <c r="J29" s="79">
        <f>D29</f>
        <v>46000</v>
      </c>
      <c r="K29" s="2" t="s">
        <v>52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>
      <c r="B30" s="83" t="s">
        <v>53</v>
      </c>
      <c r="C30" s="2"/>
      <c r="D30" s="95">
        <v>11000</v>
      </c>
      <c r="E30" s="74"/>
      <c r="F30" s="64"/>
      <c r="G30" s="7">
        <f>INT($D30/$E$4*G4)</f>
        <v>13828</v>
      </c>
      <c r="H30" s="7">
        <f>INT($D30/$E$4*H4)</f>
        <v>14457</v>
      </c>
      <c r="I30" s="7">
        <f>INT($D30/$E$4*I4)</f>
        <v>13828</v>
      </c>
      <c r="J30" s="7">
        <f>INT($D30/$E$4*J4)</f>
        <v>14457</v>
      </c>
      <c r="K30" s="2" t="s">
        <v>54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>
      <c r="B31" s="83" t="s">
        <v>30</v>
      </c>
      <c r="C31" s="7">
        <v>1.7</v>
      </c>
      <c r="D31" s="95">
        <f>C31*35*E4</f>
        <v>8330</v>
      </c>
      <c r="E31" s="74"/>
      <c r="F31" s="64"/>
      <c r="G31" s="7">
        <f>INT($D31/$E$4*G4)</f>
        <v>10472</v>
      </c>
      <c r="H31" s="7">
        <f>INT($D31/$E$4*H4)</f>
        <v>10948</v>
      </c>
      <c r="I31" s="7">
        <f>INT($D31/$E$4*I4)</f>
        <v>10472</v>
      </c>
      <c r="J31" s="7">
        <f>INT($D31/$E$4*J4)</f>
        <v>10948</v>
      </c>
      <c r="K31" s="2" t="s">
        <v>55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>
      <c r="B32" s="83" t="s">
        <v>31</v>
      </c>
      <c r="C32" s="2"/>
      <c r="D32" s="2"/>
      <c r="E32" s="74"/>
      <c r="F32" s="6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4.25">
      <c r="A33" s="144" t="s">
        <v>56</v>
      </c>
      <c r="B33" s="145"/>
      <c r="C33" s="2"/>
      <c r="D33" s="86">
        <f>D19+D24+SUM(D27:D32)</f>
        <v>871860</v>
      </c>
      <c r="E33" s="74"/>
      <c r="F33" s="64"/>
      <c r="G33" s="86">
        <f>G19+G24+SUM(G27:G32)</f>
        <v>1002439.6428571428</v>
      </c>
      <c r="H33" s="86">
        <f>H19+H24+SUM(H27:H32)</f>
        <v>1120995.761904762</v>
      </c>
      <c r="I33" s="86">
        <f>I19+I24+SUM(I27:I32)</f>
        <v>1112066.205357143</v>
      </c>
      <c r="J33" s="86">
        <f>J19+J24+SUM(J27:J32)</f>
        <v>1184487.761904762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>
      <c r="B34" s="2"/>
      <c r="C34" s="2"/>
      <c r="D34" s="2"/>
      <c r="E34" s="74"/>
      <c r="F34" s="6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>
      <c r="B35" s="2"/>
      <c r="C35" s="2"/>
      <c r="D35" s="2"/>
      <c r="E35" s="7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>
      <c r="B36" s="2"/>
      <c r="C36" s="2"/>
      <c r="D36" s="2"/>
      <c r="E36" s="7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2.75">
      <c r="B37" s="2"/>
      <c r="C37" s="2"/>
      <c r="D37" s="2"/>
      <c r="E37" s="7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2.75">
      <c r="B38" s="2"/>
      <c r="C38" s="2"/>
      <c r="D38" s="2"/>
      <c r="E38" s="7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2.75">
      <c r="B39" s="2"/>
      <c r="C39" s="2"/>
      <c r="D39" s="2"/>
      <c r="E39" s="7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.75">
      <c r="B40" s="2"/>
      <c r="C40" s="2"/>
      <c r="D40" s="2"/>
      <c r="E40" s="7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2.75">
      <c r="B41" s="2"/>
      <c r="C41" s="2"/>
      <c r="D41" s="2"/>
      <c r="E41" s="7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2.75">
      <c r="B42" s="2"/>
      <c r="C42" s="2"/>
      <c r="D42" s="2"/>
      <c r="E42" s="7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3:22" ht="13.5" thickBot="1">
      <c r="C43" s="2"/>
      <c r="D43" s="2"/>
      <c r="E43" s="7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5" ht="15">
      <c r="A44" s="114"/>
      <c r="B44" s="115" t="s">
        <v>70</v>
      </c>
      <c r="C44" s="116"/>
      <c r="D44" s="117">
        <f>D33</f>
        <v>871860</v>
      </c>
      <c r="E44" s="118"/>
    </row>
    <row r="45" spans="1:5" ht="15">
      <c r="A45" s="119"/>
      <c r="B45" s="110" t="s">
        <v>75</v>
      </c>
      <c r="C45" s="111" t="s">
        <v>76</v>
      </c>
      <c r="D45" s="112" t="s">
        <v>77</v>
      </c>
      <c r="E45" s="120" t="s">
        <v>78</v>
      </c>
    </row>
    <row r="46" spans="1:5" ht="15">
      <c r="A46" s="119">
        <v>35</v>
      </c>
      <c r="B46" s="126" t="s">
        <v>83</v>
      </c>
      <c r="C46" s="113" t="s">
        <v>71</v>
      </c>
      <c r="D46" s="109">
        <f>G33</f>
        <v>1002439.6428571428</v>
      </c>
      <c r="E46" s="121">
        <f>(D46-Cout_actuel)/Cout_actuel</f>
        <v>0.14977134271229653</v>
      </c>
    </row>
    <row r="47" spans="1:5" ht="15">
      <c r="A47" s="119">
        <v>37</v>
      </c>
      <c r="B47" s="126" t="s">
        <v>83</v>
      </c>
      <c r="C47" s="113" t="s">
        <v>72</v>
      </c>
      <c r="D47" s="109">
        <f>H33</f>
        <v>1120995.761904762</v>
      </c>
      <c r="E47" s="121">
        <f>(D47-Cout_actuel)/Cout_actuel</f>
        <v>0.2857520265922991</v>
      </c>
    </row>
    <row r="48" spans="1:5" ht="15">
      <c r="A48" s="119">
        <v>35</v>
      </c>
      <c r="B48" s="127" t="s">
        <v>84</v>
      </c>
      <c r="C48" s="113" t="s">
        <v>73</v>
      </c>
      <c r="D48" s="109">
        <f>I33</f>
        <v>1112066.205357143</v>
      </c>
      <c r="E48" s="121">
        <f>(D48-Cout_actuel)/Cout_actuel</f>
        <v>0.27551006509891834</v>
      </c>
    </row>
    <row r="49" spans="1:5" ht="15.75" thickBot="1">
      <c r="A49" s="122">
        <v>37</v>
      </c>
      <c r="B49" s="128" t="s">
        <v>84</v>
      </c>
      <c r="C49" s="123" t="s">
        <v>74</v>
      </c>
      <c r="D49" s="124">
        <f>J33</f>
        <v>1184487.761904762</v>
      </c>
      <c r="E49" s="125">
        <f>(D49-Cout_actuel)/Cout_actuel</f>
        <v>0.35857564506315454</v>
      </c>
    </row>
  </sheetData>
  <sheetProtection/>
  <mergeCells count="9">
    <mergeCell ref="G1:H1"/>
    <mergeCell ref="I1:J1"/>
    <mergeCell ref="A33:B33"/>
    <mergeCell ref="A8:B8"/>
    <mergeCell ref="A25:B25"/>
    <mergeCell ref="D2:E2"/>
    <mergeCell ref="G8:J8"/>
    <mergeCell ref="B19:C19"/>
    <mergeCell ref="B24:C24"/>
  </mergeCells>
  <printOptions/>
  <pageMargins left="1.18" right="0.3" top="0.73" bottom="0.77" header="0.41" footer="0.39"/>
  <pageSetup horizontalDpi="600" verticalDpi="600" orientation="landscape" paperSize="8" r:id="rId4"/>
  <headerFooter alignWithMargins="0">
    <oddHeader>&amp;L&amp;9Formation et Territoires
Anticiper la réforme des rythmes scolaires&amp;R&amp;F - &amp;A</oddHeader>
    <oddFooter>&amp;Lwww.david-documents.fr&amp;RLe &amp;D - &amp;P / &amp;N
Tous droits réservés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www.david-documents.fr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Estimation coûts nelle org temps scolaire</dc:subject>
  <dc:creator>Patrice DAVID</dc:creator>
  <cp:keywords/>
  <dc:description>Maj du tableau le 21/12/12</dc:description>
  <cp:lastModifiedBy>Patrice DAVID</cp:lastModifiedBy>
  <cp:lastPrinted>2013-03-08T14:51:15Z</cp:lastPrinted>
  <dcterms:created xsi:type="dcterms:W3CDTF">2012-07-13T07:08:05Z</dcterms:created>
  <dcterms:modified xsi:type="dcterms:W3CDTF">2013-04-06T12:44:40Z</dcterms:modified>
  <cp:category/>
  <cp:version/>
  <cp:contentType/>
  <cp:contentStatus/>
</cp:coreProperties>
</file>