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885" tabRatio="718" activeTab="0"/>
  </bookViews>
  <sheets>
    <sheet name="1-Si reliquat d'ancienneté" sheetId="1" r:id="rId1"/>
    <sheet name="2-B adm. &gt;&gt; NES" sheetId="2" r:id="rId2"/>
    <sheet name="3-B adm. &gt;&gt; B tech. &gt;&gt; NES" sheetId="3" r:id="rId3"/>
    <sheet name="4-POUR INFO  B tech. &gt;&gt; NES" sheetId="4" r:id="rId4"/>
    <sheet name="5-Données" sheetId="5" r:id="rId5"/>
  </sheets>
  <definedNames>
    <definedName name="an" localSheetId="2">'5-Données'!$B$10</definedName>
    <definedName name="an">'5-Données'!$B$10</definedName>
    <definedName name="date_reclast">'5-Données'!$B$25</definedName>
    <definedName name="date_réforme" localSheetId="2">'5-Données'!$B$7</definedName>
    <definedName name="date_réforme">'5-Données'!$B$7</definedName>
    <definedName name="_xlnm.Print_Titles" localSheetId="1">'2-B adm. &gt;&gt; NES'!$1:$3</definedName>
    <definedName name="_xlnm.Print_Titles" localSheetId="2">'3-B adm. &gt;&gt; B tech. &gt;&gt; NES'!$A:$E,'3-B adm. &gt;&gt; B tech. &gt;&gt; NES'!$1:$3</definedName>
    <definedName name="valeur_IM" localSheetId="2">'3-B adm. &gt;&gt; B tech. &gt;&gt; NES'!#REF!</definedName>
    <definedName name="valeur_IM">'2-B adm. &gt;&gt; NES'!#REF!</definedName>
    <definedName name="valeur_IM_SMIC" localSheetId="2">'5-Données'!$B$9</definedName>
    <definedName name="valeur_IM_SMIC">'5-Données'!$B$9</definedName>
    <definedName name="valeur_ind_maj" localSheetId="2">'5-Données'!$B$8</definedName>
    <definedName name="valeur_ind_maj">'5-Données'!$B$8</definedName>
    <definedName name="_xlnm.Print_Area" localSheetId="1">'2-B adm. &gt;&gt; NES'!$A$1:$W$36</definedName>
    <definedName name="_xlnm.Print_Area" localSheetId="2">'3-B adm. &gt;&gt; B tech. &gt;&gt; NES'!$A$1:$AO$36</definedName>
    <definedName name="_xlnm.Print_Area" localSheetId="3">'4-POUR INFO  B tech. &gt;&gt; NES'!$A$1:$W$37</definedName>
    <definedName name="_xlnm.Print_Area" localSheetId="4">'5-Données'!$A$1:$U$65</definedName>
    <definedName name="Zone_saisies" localSheetId="2">'3-B adm. &gt;&gt; B tech. &gt;&gt; NES'!$T$4:$T$31,'3-B adm. &gt;&gt; B tech. &gt;&gt; NES'!$U$6:$V$10,'3-B adm. &gt;&gt; B tech. &gt;&gt; NES'!$U$12:$V$18,'3-B adm. &gt;&gt; B tech. &gt;&gt; NES'!$U$20:$V$31</definedName>
    <definedName name="Zone_saisies">'2-B adm. &gt;&gt; NES'!$B$4:$B$31,'2-B adm. &gt;&gt; NES'!$C$5:$D$10,'2-B adm. &gt;&gt; NES'!$C$12:$D$18,'2-B adm. &gt;&gt; NES'!$C$20:$D$31</definedName>
  </definedNames>
  <calcPr fullCalcOnLoad="1"/>
</workbook>
</file>

<file path=xl/sharedStrings.xml><?xml version="1.0" encoding="utf-8"?>
<sst xmlns="http://schemas.openxmlformats.org/spreadsheetml/2006/main" count="382" uniqueCount="133">
  <si>
    <t>Grade
actuel</t>
  </si>
  <si>
    <t>Echelon
actuel</t>
  </si>
  <si>
    <t>Indice
majoré
(IM)
actuel</t>
  </si>
  <si>
    <t>SACE</t>
  </si>
  <si>
    <t>SACS</t>
  </si>
  <si>
    <t>SACN</t>
  </si>
  <si>
    <t>Date réforme:</t>
  </si>
  <si>
    <t>calcul
réduc.
anc.</t>
  </si>
  <si>
    <t>=</t>
  </si>
  <si>
    <t>Eventuelle
réduction
d'ancienneté</t>
  </si>
  <si>
    <t>Modalité
de reprise
de l'ancienneté</t>
  </si>
  <si>
    <t>nb
mois</t>
  </si>
  <si>
    <t>nb
jours</t>
  </si>
  <si>
    <t>Année</t>
  </si>
  <si>
    <t>Smic horaire brut</t>
  </si>
  <si>
    <t>Date</t>
  </si>
  <si>
    <t>Base 100
en 1995</t>
  </si>
  <si>
    <t>//</t>
  </si>
  <si>
    <t>fin du Franc</t>
  </si>
  <si>
    <t>Base 100
en 1980</t>
  </si>
  <si>
    <t>Date de
parution au JO</t>
  </si>
  <si>
    <t>calcul
solde
anc.</t>
  </si>
  <si>
    <t>calcul
total
anc.</t>
  </si>
  <si>
    <t>Calcul 1 année:</t>
  </si>
  <si>
    <t>Valeur IM actuel:</t>
  </si>
  <si>
    <t>Traitement
mensuel
brut
(TMB)
actuel
(€)</t>
  </si>
  <si>
    <t xml:space="preserve">    soit 15 ans de sous-valorisation de l'indice. Ça n'a pas été rattrapé</t>
  </si>
  <si>
    <t>(*) rapprochement de la base 100, en 1995, du SMIC mensuel brut</t>
  </si>
  <si>
    <t xml:space="preserve">    et de la base 100, en 1995, de la valeur du point d'indice majoré:</t>
  </si>
  <si>
    <t>Calcul (*)
TMB s'il
avait suivi
le rythme
du SMIC
depuis 1995
(€)</t>
  </si>
  <si>
    <t>Situation particulière
éventuelle à la date
du reclassement</t>
  </si>
  <si>
    <t>Eléments pris en considération pour effectuer le reclassement dans le nouveau statut B</t>
  </si>
  <si>
    <t>Valeur IM s'il avait suivi le rythme du SMIC:</t>
  </si>
  <si>
    <t xml:space="preserve">    lors des relèvements de valeur des échelons (points supplémentaires).</t>
  </si>
  <si>
    <r>
      <t xml:space="preserve">Date
échelon
actuel
</t>
    </r>
    <r>
      <rPr>
        <b/>
        <sz val="11"/>
        <color indexed="10"/>
        <rFont val="Arial"/>
        <family val="2"/>
      </rPr>
      <t>(jj/mm/aa)</t>
    </r>
  </si>
  <si>
    <t>Calcul (*)
du différentiel
mensuel brut
induit par la
sous valorisation
de l'IM depuis 1995
(€)</t>
  </si>
  <si>
    <r>
      <t xml:space="preserve">Smic mensuel brut
</t>
    </r>
    <r>
      <rPr>
        <b/>
        <sz val="10"/>
        <color indexed="10"/>
        <rFont val="Arial"/>
        <family val="2"/>
      </rPr>
      <t>(en euros)</t>
    </r>
    <r>
      <rPr>
        <sz val="10"/>
        <rFont val="Arial"/>
        <family val="0"/>
      </rPr>
      <t xml:space="preserve"> pour
151,67h de travail</t>
    </r>
  </si>
  <si>
    <r>
      <t xml:space="preserve">Smic mensuel brut
</t>
    </r>
    <r>
      <rPr>
        <b/>
        <sz val="10"/>
        <color indexed="10"/>
        <rFont val="Arial"/>
        <family val="2"/>
      </rPr>
      <t>(en euros)</t>
    </r>
    <r>
      <rPr>
        <sz val="10"/>
        <rFont val="Arial"/>
        <family val="0"/>
      </rPr>
      <t xml:space="preserve"> pour
169h de travail</t>
    </r>
  </si>
  <si>
    <r>
      <t xml:space="preserve">Valeur de
l'IM 100
</t>
    </r>
    <r>
      <rPr>
        <b/>
        <sz val="10"/>
        <color indexed="10"/>
        <rFont val="Arial"/>
        <family val="2"/>
      </rPr>
      <t>(en euros)</t>
    </r>
  </si>
  <si>
    <t>IM 100 qui
aurait suivi
le Smic
(en euros)</t>
  </si>
  <si>
    <r>
      <t xml:space="preserve">Valeur IM
mensuel
</t>
    </r>
    <r>
      <rPr>
        <b/>
        <sz val="10"/>
        <color indexed="10"/>
        <rFont val="Arial"/>
        <family val="2"/>
      </rPr>
      <t>(en euros)</t>
    </r>
  </si>
  <si>
    <t>IM mensuel
qui aurait
suivi le Smic
(en euros)</t>
  </si>
  <si>
    <t>Différentiel
mensuel brut
par rapport
au TMB
actuel (2009)
(€)</t>
  </si>
  <si>
    <t>Secrétaire administratif de classe exceptionnelle</t>
  </si>
  <si>
    <t>SACE:</t>
  </si>
  <si>
    <t>SACS:</t>
  </si>
  <si>
    <t>SACN:</t>
  </si>
  <si>
    <t>Secrétaire administratif de classe supérieure</t>
  </si>
  <si>
    <t>Secrétaire administratif de classe normale</t>
  </si>
  <si>
    <t>http://www.fonction-publique.gouv.fr/IMG/QR_statut_catB.pdf</t>
  </si>
  <si>
    <t>http://www2.lifl.fr/~beaufils/pub/pouvoir_achat.archives/20080511/%5BSite_Fonction_Publique%5D_R%C3%A9mun%C3%A9ration_principale/</t>
  </si>
  <si>
    <t>http://www.insee.fr/fr/themes/tableau.asp?ref_id=NATnon04145</t>
  </si>
  <si>
    <t>(sites ci-dessous: faire 'copier/coller' si l'ouverture ne se fait pas d'un clic)</t>
  </si>
  <si>
    <t>TSC:</t>
  </si>
  <si>
    <t>TSP:</t>
  </si>
  <si>
    <t>TS:</t>
  </si>
  <si>
    <t>Date du reclassement
des SA dans le corps des TS:</t>
  </si>
  <si>
    <t>modifier ici les dates
&lt;&lt;&lt;&lt;&lt;  (réforme ou reclassement)  &gt;&gt;&gt;&gt;&gt;
en cas d'application différée</t>
  </si>
  <si>
    <t>Technicien supérieur en chef (3ème grade)</t>
  </si>
  <si>
    <t>Technicien supérieur principal (2ème grade)</t>
  </si>
  <si>
    <t>Technicien supérieur (1er grade)</t>
  </si>
  <si>
    <t>3ème:</t>
  </si>
  <si>
    <t>2ème:</t>
  </si>
  <si>
    <t>1er:</t>
  </si>
  <si>
    <t>Grade en 13 échelons, de l'IM 327 à l'IM 515</t>
  </si>
  <si>
    <t>Grade en 11 échelons, de l'IM 365 à l'IM 551 (en 2011: 551 passera à 562)</t>
  </si>
  <si>
    <t>Grade en 13 échelons, de l'IM 310 à l'IM 486</t>
  </si>
  <si>
    <t>Reclassement
en B technique</t>
  </si>
  <si>
    <t>TSC</t>
  </si>
  <si>
    <t>TSP</t>
  </si>
  <si>
    <t>TS</t>
  </si>
  <si>
    <t>SA de classe exceptionnelle (3ème grade)</t>
  </si>
  <si>
    <t>SA de classe supérieure (2ème grade)</t>
  </si>
  <si>
    <r>
      <t xml:space="preserve">Grade
</t>
    </r>
    <r>
      <rPr>
        <b/>
        <sz val="10"/>
        <rFont val="Arial"/>
        <family val="2"/>
      </rPr>
      <t>nouveau</t>
    </r>
  </si>
  <si>
    <r>
      <t xml:space="preserve">Echelon
</t>
    </r>
    <r>
      <rPr>
        <b/>
        <sz val="10"/>
        <rFont val="Arial"/>
        <family val="2"/>
      </rPr>
      <t>nouveau</t>
    </r>
  </si>
  <si>
    <r>
      <t xml:space="preserve">TMB
</t>
    </r>
    <r>
      <rPr>
        <b/>
        <sz val="10"/>
        <rFont val="Arial"/>
        <family val="2"/>
      </rPr>
      <t>nouveau</t>
    </r>
    <r>
      <rPr>
        <sz val="10"/>
        <rFont val="Arial"/>
        <family val="2"/>
      </rPr>
      <t xml:space="preserve">
(€)</t>
    </r>
  </si>
  <si>
    <r>
      <t xml:space="preserve">Différentiel
mensuel brut
suite au
</t>
    </r>
    <r>
      <rPr>
        <b/>
        <sz val="10"/>
        <rFont val="Arial"/>
        <family val="2"/>
      </rPr>
      <t>nouveau statut</t>
    </r>
    <r>
      <rPr>
        <sz val="10"/>
        <rFont val="Arial"/>
        <family val="2"/>
      </rPr>
      <t xml:space="preserve">
(€)</t>
    </r>
  </si>
  <si>
    <r>
      <t xml:space="preserve">
Echelon
</t>
    </r>
    <r>
      <rPr>
        <b/>
        <sz val="10"/>
        <rFont val="Arial"/>
        <family val="2"/>
      </rPr>
      <t>suivant</t>
    </r>
  </si>
  <si>
    <r>
      <t xml:space="preserve">IM
</t>
    </r>
    <r>
      <rPr>
        <b/>
        <sz val="10"/>
        <rFont val="Arial"/>
        <family val="2"/>
      </rPr>
      <t xml:space="preserve">suivant
</t>
    </r>
    <r>
      <rPr>
        <sz val="10"/>
        <rFont val="Arial"/>
        <family val="2"/>
      </rPr>
      <t xml:space="preserve">
NB: en 2011
535 devient 540
551 devient 562</t>
    </r>
  </si>
  <si>
    <r>
      <t xml:space="preserve">TMB
</t>
    </r>
    <r>
      <rPr>
        <b/>
        <sz val="10"/>
        <rFont val="Arial"/>
        <family val="2"/>
      </rPr>
      <t>suivant</t>
    </r>
  </si>
  <si>
    <t>SA de classe normale (1er grade)</t>
  </si>
  <si>
    <t>Eléments pris en considération pour effectuer le reclassement
dans le nouveau statut B
("NOUVEL ESPACE STATUTAIRE")</t>
  </si>
  <si>
    <r>
      <t xml:space="preserve">IM
</t>
    </r>
    <r>
      <rPr>
        <b/>
        <sz val="10"/>
        <rFont val="Arial"/>
        <family val="2"/>
      </rPr>
      <t>nouveau</t>
    </r>
    <r>
      <rPr>
        <sz val="10"/>
        <rFont val="Arial"/>
        <family val="2"/>
      </rPr>
      <t xml:space="preserve">
NB: en 2011
535 devient 540
551 devient 562</t>
    </r>
  </si>
  <si>
    <r>
      <t xml:space="preserve">TMB
</t>
    </r>
    <r>
      <rPr>
        <b/>
        <sz val="10"/>
        <rFont val="Arial"/>
        <family val="2"/>
      </rPr>
      <t xml:space="preserve">nouveau
</t>
    </r>
    <r>
      <rPr>
        <sz val="10"/>
        <rFont val="Arial"/>
        <family val="2"/>
      </rPr>
      <t xml:space="preserve">
(€)</t>
    </r>
  </si>
  <si>
    <r>
      <t xml:space="preserve">Date
estimée
</t>
    </r>
    <r>
      <rPr>
        <sz val="10"/>
        <rFont val="Arial"/>
        <family val="2"/>
      </rPr>
      <t xml:space="preserve">de l'échelon
</t>
    </r>
    <r>
      <rPr>
        <b/>
        <sz val="10"/>
        <rFont val="Arial"/>
        <family val="2"/>
      </rPr>
      <t>suivant</t>
    </r>
    <r>
      <rPr>
        <sz val="10"/>
        <rFont val="Arial"/>
        <family val="2"/>
      </rPr>
      <t xml:space="preserve">
(jj/mm/aa)</t>
    </r>
  </si>
  <si>
    <r>
      <t xml:space="preserve">TMB
</t>
    </r>
    <r>
      <rPr>
        <b/>
        <sz val="10"/>
        <rFont val="Arial"/>
        <family val="2"/>
      </rPr>
      <t xml:space="preserve">suivant
</t>
    </r>
    <r>
      <rPr>
        <sz val="10"/>
        <rFont val="Arial"/>
        <family val="2"/>
      </rPr>
      <t>(€)</t>
    </r>
  </si>
  <si>
    <r>
      <t xml:space="preserve">Le présent outil de calcul a été conçu par la </t>
    </r>
    <r>
      <rPr>
        <b/>
        <sz val="11"/>
        <color indexed="10"/>
        <rFont val="Arial"/>
        <family val="2"/>
      </rPr>
      <t>CGT de FranceAgriMer</t>
    </r>
    <r>
      <rPr>
        <sz val="11"/>
        <rFont val="Arial"/>
        <family val="2"/>
      </rPr>
      <t xml:space="preserve"> avec l'appui des élus CGT
de FranceAgriMer &amp; de l'Agence de Services et de Paiement (CAP des cadres B).
Nos tests signalent que la </t>
    </r>
    <r>
      <rPr>
        <sz val="11"/>
        <color indexed="10"/>
        <rFont val="Arial"/>
        <family val="2"/>
      </rPr>
      <t>date estimée de l'échelon suivant</t>
    </r>
    <r>
      <rPr>
        <sz val="11"/>
        <rFont val="Arial"/>
        <family val="2"/>
      </rPr>
      <t xml:space="preserve"> est juste à 5 jours près: ce n'est pas un logiciel Fonction Publique!</t>
    </r>
    <r>
      <rPr>
        <sz val="4"/>
        <rFont val="Arial"/>
        <family val="2"/>
      </rPr>
      <t xml:space="preserve">
</t>
    </r>
    <r>
      <rPr>
        <sz val="11"/>
        <rFont val="Arial"/>
        <family val="2"/>
      </rPr>
      <t xml:space="preserve">
</t>
    </r>
    <r>
      <rPr>
        <u val="single"/>
        <sz val="11"/>
        <rFont val="Arial"/>
        <family val="2"/>
      </rPr>
      <t>A savoir:</t>
    </r>
    <r>
      <rPr>
        <sz val="11"/>
        <rFont val="Arial"/>
        <family val="2"/>
      </rPr>
      <t xml:space="preserve"> la reconnaissance des techniciens "ex ONIGC-AUP" et leur reclassement est en instance, et le projet de
"NOUVEL ESPACE STATUTAIRE" applicable en janvier 2010 n'avance pas au rythme initialement prévu: l'UGFF (Fédération des
fonctionnaires CGT) a signalé des retards dans les négociations =&gt; utiliser l'onglet "données" si des dates devaient être repoussées...</t>
    </r>
  </si>
  <si>
    <r>
      <t xml:space="preserve">Indice
majoré
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IM</t>
    </r>
    <r>
      <rPr>
        <sz val="11"/>
        <rFont val="Arial"/>
        <family val="2"/>
      </rPr>
      <t>)</t>
    </r>
    <r>
      <rPr>
        <sz val="10"/>
        <rFont val="Arial"/>
        <family val="2"/>
      </rPr>
      <t xml:space="preserve">
actuel</t>
    </r>
  </si>
  <si>
    <r>
      <t xml:space="preserve">Traitement
mensuel
brut
</t>
    </r>
    <r>
      <rPr>
        <sz val="11"/>
        <rFont val="Arial"/>
        <family val="2"/>
      </rPr>
      <t>(</t>
    </r>
    <r>
      <rPr>
        <b/>
        <sz val="11"/>
        <rFont val="Arial"/>
        <family val="2"/>
      </rPr>
      <t>TMB</t>
    </r>
    <r>
      <rPr>
        <sz val="11"/>
        <rFont val="Arial"/>
        <family val="2"/>
      </rPr>
      <t>)</t>
    </r>
    <r>
      <rPr>
        <sz val="10"/>
        <rFont val="Arial"/>
        <family val="2"/>
      </rPr>
      <t xml:space="preserve">
actuel
(€)</t>
    </r>
  </si>
  <si>
    <t>Echelon
actuel
(2009)</t>
  </si>
  <si>
    <t>Grade
actuel
(2009)</t>
  </si>
  <si>
    <r>
      <t xml:space="preserve">IM </t>
    </r>
    <r>
      <rPr>
        <b/>
        <sz val="10"/>
        <rFont val="Arial"/>
        <family val="2"/>
      </rPr>
      <t xml:space="preserve">nouveau
</t>
    </r>
    <r>
      <rPr>
        <sz val="10"/>
        <rFont val="Arial"/>
        <family val="2"/>
      </rPr>
      <t xml:space="preserve">
NB: en 2011
535 devient 540
551 devient 562</t>
    </r>
  </si>
  <si>
    <r>
      <t xml:space="preserve">Différentiel
mensuel brut
suite au
</t>
    </r>
    <r>
      <rPr>
        <b/>
        <sz val="10"/>
        <rFont val="Arial"/>
        <family val="2"/>
      </rPr>
      <t>nouveau
statut</t>
    </r>
    <r>
      <rPr>
        <sz val="10"/>
        <rFont val="Arial"/>
        <family val="2"/>
      </rPr>
      <t xml:space="preserve">
(€)</t>
    </r>
  </si>
  <si>
    <r>
      <t>Date
estimée</t>
    </r>
    <r>
      <rPr>
        <sz val="10"/>
        <rFont val="Arial"/>
        <family val="2"/>
      </rPr>
      <t xml:space="preserve">
de l'échelon
</t>
    </r>
    <r>
      <rPr>
        <b/>
        <sz val="10"/>
        <rFont val="Arial"/>
        <family val="2"/>
      </rPr>
      <t>suivant</t>
    </r>
    <r>
      <rPr>
        <sz val="10"/>
        <rFont val="Arial"/>
        <family val="2"/>
      </rPr>
      <t xml:space="preserve">
(jj/mm/aa)</t>
    </r>
  </si>
  <si>
    <r>
      <t xml:space="preserve">IM
</t>
    </r>
    <r>
      <rPr>
        <b/>
        <sz val="10"/>
        <rFont val="Arial"/>
        <family val="2"/>
      </rPr>
      <t>suivant</t>
    </r>
    <r>
      <rPr>
        <sz val="10"/>
        <rFont val="Arial"/>
        <family val="2"/>
      </rPr>
      <t xml:space="preserve">
NB: en 2011
535 devient 540
551 devient 562</t>
    </r>
  </si>
  <si>
    <r>
      <t xml:space="preserve">Le présent outil de calcul a été conçu par la </t>
    </r>
    <r>
      <rPr>
        <b/>
        <sz val="10"/>
        <color indexed="10"/>
        <rFont val="Arial"/>
        <family val="2"/>
      </rPr>
      <t>CGT de FranceAgriMer</t>
    </r>
    <r>
      <rPr>
        <sz val="10"/>
        <rFont val="Arial"/>
        <family val="0"/>
      </rPr>
      <t xml:space="preserve"> avec l'appui des élus CGT de FranceAgriMer &amp; de l'A.S.P. (CAP des cadres B).
Nos tests signalent que la </t>
    </r>
    <r>
      <rPr>
        <sz val="10"/>
        <color indexed="10"/>
        <rFont val="Arial"/>
        <family val="2"/>
      </rPr>
      <t>date estimée de l'échelon suivant</t>
    </r>
    <r>
      <rPr>
        <sz val="10"/>
        <rFont val="Arial"/>
        <family val="0"/>
      </rPr>
      <t xml:space="preserve"> est </t>
    </r>
    <r>
      <rPr>
        <sz val="10"/>
        <rFont val="Arial"/>
        <family val="2"/>
      </rPr>
      <t>juste à 5 jours près: ce n'est p</t>
    </r>
    <r>
      <rPr>
        <sz val="10"/>
        <rFont val="Arial"/>
        <family val="0"/>
      </rPr>
      <t>as un logiciel Fonction Publique!
Nous avons, pour info, rapproché l'évolution de l'indice FP et celle du SMIC depuis 1995: chacun comprend ici l'importance du régime indemnitaire annexe
(les "primes"), objet de notre pugnacité syndicale face aux blocages gouvernementaux des salaires des fonctionnaires.
A savoir aussi: le projet de "NOUVEL ESPACE STATUTAIRE" applicable en janvier 2010 n'avance pas au rythme initialement prévu: l'UGFF (Fédération des fonctionnaires CGT) a signalé des retards dans les négociations =&gt; utiliser l'onglet "données" si la date devait être repoussée...</t>
    </r>
  </si>
  <si>
    <t>Date d'échelon:</t>
  </si>
  <si>
    <t>Reliquat d'ancienneté:</t>
  </si>
  <si>
    <t>années</t>
  </si>
  <si>
    <t>mois</t>
  </si>
  <si>
    <t>jours</t>
  </si>
  <si>
    <t>du</t>
  </si>
  <si>
    <t>Version</t>
  </si>
  <si>
    <t>Date
échelon
actuel
(jj/mm/aa)</t>
  </si>
  <si>
    <r>
      <t xml:space="preserve">Saisir </t>
    </r>
    <r>
      <rPr>
        <b/>
        <i/>
        <u val="single"/>
        <sz val="10"/>
        <color indexed="10"/>
        <rFont val="Arial"/>
        <family val="2"/>
      </rPr>
      <t>devant son échelon actuel:</t>
    </r>
    <r>
      <rPr>
        <b/>
        <i/>
        <sz val="10"/>
        <color indexed="10"/>
        <rFont val="Arial"/>
        <family val="2"/>
      </rPr>
      <t xml:space="preserve">
date d'échelon &amp; réduction d'ancienneté
puis imprimer</t>
    </r>
  </si>
  <si>
    <r>
      <t xml:space="preserve">(POUR INFO)
Date "échelon
transitoire"
</t>
    </r>
    <r>
      <rPr>
        <b/>
        <i/>
        <sz val="10"/>
        <rFont val="Arial"/>
        <family val="2"/>
      </rPr>
      <t>suite au
reclast en
B tech.</t>
    </r>
    <r>
      <rPr>
        <i/>
        <sz val="10"/>
        <rFont val="Arial"/>
        <family val="2"/>
      </rPr>
      <t xml:space="preserve">
</t>
    </r>
    <r>
      <rPr>
        <i/>
        <sz val="11"/>
        <rFont val="Arial"/>
        <family val="2"/>
      </rPr>
      <t>(jj/mm/aa)</t>
    </r>
  </si>
  <si>
    <r>
      <t xml:space="preserve">Date échelon
suite au
reclast dans
le corps tech.
</t>
    </r>
    <r>
      <rPr>
        <b/>
        <i/>
        <sz val="11"/>
        <color indexed="10"/>
        <rFont val="Arial"/>
        <family val="2"/>
      </rPr>
      <t>(jj/mm/aa)</t>
    </r>
  </si>
  <si>
    <r>
      <t xml:space="preserve">Grade
d'intégration
</t>
    </r>
    <r>
      <rPr>
        <b/>
        <i/>
        <sz val="10"/>
        <rFont val="Arial"/>
        <family val="2"/>
      </rPr>
      <t>suite au
reclast en
B tech.</t>
    </r>
  </si>
  <si>
    <r>
      <t xml:space="preserve">Echelon
</t>
    </r>
    <r>
      <rPr>
        <b/>
        <i/>
        <sz val="10"/>
        <rFont val="Arial"/>
        <family val="2"/>
      </rPr>
      <t>suite au
reclast en
B tech.</t>
    </r>
  </si>
  <si>
    <r>
      <t xml:space="preserve">IM
</t>
    </r>
    <r>
      <rPr>
        <b/>
        <i/>
        <sz val="10"/>
        <rFont val="Arial"/>
        <family val="2"/>
      </rPr>
      <t>suite au
reclast en
B tech.</t>
    </r>
  </si>
  <si>
    <r>
      <t xml:space="preserve">TMB
</t>
    </r>
    <r>
      <rPr>
        <b/>
        <i/>
        <sz val="10"/>
        <rFont val="Arial"/>
        <family val="2"/>
      </rPr>
      <t xml:space="preserve">suite au
reclast en
B tech.
</t>
    </r>
    <r>
      <rPr>
        <i/>
        <sz val="10"/>
        <rFont val="Arial"/>
        <family val="2"/>
      </rPr>
      <t xml:space="preserve">
(€)</t>
    </r>
  </si>
  <si>
    <r>
      <t xml:space="preserve">Différentiel
mensuel brut
</t>
    </r>
    <r>
      <rPr>
        <b/>
        <i/>
        <sz val="10"/>
        <rFont val="Arial"/>
        <family val="2"/>
      </rPr>
      <t>suite au
reclast en
B tech.</t>
    </r>
    <r>
      <rPr>
        <i/>
        <sz val="10"/>
        <rFont val="Arial"/>
        <family val="2"/>
      </rPr>
      <t xml:space="preserve">
(€)</t>
    </r>
  </si>
  <si>
    <r>
      <t xml:space="preserve">REFORME CATEGORIELLE: </t>
    </r>
    <r>
      <rPr>
        <b/>
        <sz val="18"/>
        <color indexed="10"/>
        <rFont val="Arial"/>
        <family val="2"/>
      </rPr>
      <t>B ADMINISTRATIFS</t>
    </r>
    <r>
      <rPr>
        <sz val="16"/>
        <rFont val="Arial"/>
        <family val="2"/>
      </rPr>
      <t xml:space="preserve">
RECLASSES DANS LE "NOUVEL ESPACE STATUTAIRE"</t>
    </r>
  </si>
  <si>
    <r>
      <t xml:space="preserve">Le présent outil de calcul a été conçu par la </t>
    </r>
    <r>
      <rPr>
        <b/>
        <sz val="10"/>
        <color indexed="10"/>
        <rFont val="Arial"/>
        <family val="2"/>
      </rPr>
      <t>CGT de FranceAgriMer</t>
    </r>
    <r>
      <rPr>
        <sz val="10"/>
        <rFont val="Arial"/>
        <family val="0"/>
      </rPr>
      <t xml:space="preserve"> avec l'appui des élus CGT de FranceAgriMer &amp; de l'A.S.P. (CAP des cadres B).
Nos tests signalent que la </t>
    </r>
    <r>
      <rPr>
        <sz val="10"/>
        <color indexed="10"/>
        <rFont val="Arial"/>
        <family val="2"/>
      </rPr>
      <t>date de l'échelon suivant</t>
    </r>
    <r>
      <rPr>
        <sz val="10"/>
        <rFont val="Arial"/>
        <family val="0"/>
      </rPr>
      <t xml:space="preserve"> est juste à 5 jours près: ce n'est pas un logiciel Fonction Publique!
Nous avons, pour info, rapproché l'évolution de l'indice FP et celle du SMIC depuis 1995: chacun comprend ici l'importance du régime indemnitaire annexe
(les "primes"), objet de notre pugnacité syndicale face aux blocages gouvernementaux des salaires des fonctionnaires.
</t>
    </r>
    <r>
      <rPr>
        <u val="single"/>
        <sz val="10"/>
        <rFont val="Arial"/>
        <family val="2"/>
      </rPr>
      <t>A savoir:</t>
    </r>
    <r>
      <rPr>
        <sz val="10"/>
        <rFont val="Arial"/>
        <family val="0"/>
      </rPr>
      <t xml:space="preserve"> le projet de "NOUVEL ESPACE STATUTAIRE" applicable en janvier 2010 n'avance pas au rythme initialement prévu: l'UGFF (Fédération des fonctionnaires CGT) a signalé des retards dans les négociations =&gt; utiliser l'onglet "données" si la date devait être repoussée...</t>
    </r>
  </si>
  <si>
    <r>
      <t xml:space="preserve">TMB
</t>
    </r>
    <r>
      <rPr>
        <b/>
        <sz val="10"/>
        <rFont val="Arial"/>
        <family val="2"/>
      </rPr>
      <t>nouveau</t>
    </r>
    <r>
      <rPr>
        <sz val="10"/>
        <rFont val="Arial"/>
        <family val="2"/>
      </rPr>
      <t xml:space="preserve">
(€)</t>
    </r>
  </si>
  <si>
    <r>
      <t xml:space="preserve">Date
estimée
de l'échelon
</t>
    </r>
    <r>
      <rPr>
        <b/>
        <sz val="10"/>
        <rFont val="Arial"/>
        <family val="2"/>
      </rPr>
      <t>suivant</t>
    </r>
    <r>
      <rPr>
        <sz val="10"/>
        <rFont val="Arial"/>
        <family val="2"/>
      </rPr>
      <t xml:space="preserve">
(jj/mm/aa)</t>
    </r>
  </si>
  <si>
    <t>Eléments pris en considération pour effectuer
le reclassement dans le nouveau statut B</t>
  </si>
  <si>
    <r>
      <t xml:space="preserve">REFORME CATEGORIELLE: </t>
    </r>
    <r>
      <rPr>
        <b/>
        <sz val="18"/>
        <color indexed="10"/>
        <rFont val="Arial"/>
        <family val="2"/>
      </rPr>
      <t>B TECHNIQUES</t>
    </r>
    <r>
      <rPr>
        <sz val="16"/>
        <rFont val="Arial"/>
        <family val="2"/>
      </rPr>
      <t xml:space="preserve">
RECLASSES DANS LE "NOUVEL ESPACE STATUTAIRE"</t>
    </r>
  </si>
  <si>
    <t>Source des données: sites Fonction publique et I N S E E</t>
  </si>
  <si>
    <t>Technicien supérieur en chef</t>
  </si>
  <si>
    <t>Technicien supérieur principal</t>
  </si>
  <si>
    <t>Technicien supérieur</t>
  </si>
  <si>
    <r>
      <t xml:space="preserve">Saisir </t>
    </r>
    <r>
      <rPr>
        <b/>
        <i/>
        <u val="single"/>
        <sz val="10"/>
        <color indexed="10"/>
        <rFont val="Arial"/>
        <family val="2"/>
      </rPr>
      <t>devant son
échelon actuel:</t>
    </r>
    <r>
      <rPr>
        <b/>
        <i/>
        <sz val="10"/>
        <color indexed="10"/>
        <rFont val="Arial"/>
        <family val="2"/>
      </rPr>
      <t xml:space="preserve">
date d'échelon &amp;
réduction d'ancienneté
puis imprimer</t>
    </r>
  </si>
  <si>
    <r>
      <t>P O U R   I N F O</t>
    </r>
    <r>
      <rPr>
        <i/>
        <sz val="8"/>
        <rFont val="Arial"/>
        <family val="2"/>
      </rPr>
      <t xml:space="preserve">
</t>
    </r>
    <r>
      <rPr>
        <i/>
        <sz val="14"/>
        <rFont val="Arial"/>
        <family val="2"/>
      </rPr>
      <t>PHASE TRANSITOIRE</t>
    </r>
    <r>
      <rPr>
        <i/>
        <sz val="8"/>
        <rFont val="Arial"/>
        <family val="2"/>
      </rPr>
      <t xml:space="preserve">
DU RECLASSEMENT DES SECRETAIRES ADMINISTRATIFS
DE  FRANCEAGRIMER  ET  DE  L'A.S.P
(</t>
    </r>
    <r>
      <rPr>
        <i/>
        <u val="single"/>
        <sz val="8"/>
        <rFont val="Arial"/>
        <family val="2"/>
      </rPr>
      <t>SOUS RESERVE QUE LEUR TECHNICITE AIT ETE RECONNUE</t>
    </r>
    <r>
      <rPr>
        <i/>
        <sz val="8"/>
        <rFont val="Arial"/>
        <family val="2"/>
      </rPr>
      <t>)
DANS LE CORPS DES TECHNICIENS SUPERIEURS</t>
    </r>
  </si>
  <si>
    <r>
      <t>(saisir: '</t>
    </r>
    <r>
      <rPr>
        <b/>
        <sz val="12"/>
        <rFont val="Arial"/>
        <family val="2"/>
      </rPr>
      <t>date d'échelon</t>
    </r>
    <r>
      <rPr>
        <sz val="12"/>
        <rFont val="Arial"/>
        <family val="2"/>
      </rPr>
      <t>' &amp; '</t>
    </r>
    <r>
      <rPr>
        <b/>
        <sz val="12"/>
        <rFont val="Arial"/>
        <family val="2"/>
      </rPr>
      <t>reliquat d'ancienneté</t>
    </r>
    <r>
      <rPr>
        <sz val="12"/>
        <rFont val="Arial"/>
        <family val="2"/>
      </rPr>
      <t>': cellules jaunes)</t>
    </r>
  </si>
  <si>
    <t>(jj/mm/aa)</t>
  </si>
  <si>
    <t>&gt;&gt;&gt;</t>
  </si>
  <si>
    <t>&lt;&lt;&lt;</t>
  </si>
  <si>
    <t xml:space="preserve">Valeur à servir dans "date échelon actuel" </t>
  </si>
  <si>
    <t xml:space="preserve"> de l'onglet 2 ou 3 ou 4</t>
  </si>
  <si>
    <t>Eventuelle
bonification
d'ancienneté</t>
  </si>
  <si>
    <r>
      <t xml:space="preserve">    </t>
    </r>
    <r>
      <rPr>
        <b/>
        <i/>
        <u val="single"/>
        <sz val="16"/>
        <color indexed="12"/>
        <rFont val="Arial"/>
        <family val="2"/>
      </rPr>
      <t>CONSEILS:</t>
    </r>
    <r>
      <rPr>
        <b/>
        <i/>
        <sz val="16"/>
        <color indexed="12"/>
        <rFont val="Arial"/>
        <family val="2"/>
      </rPr>
      <t xml:space="preserve">  mettre en "plein écran"</t>
    </r>
    <r>
      <rPr>
        <b/>
        <i/>
        <sz val="14"/>
        <color indexed="12"/>
        <rFont val="Arial"/>
        <family val="2"/>
      </rPr>
      <t xml:space="preserve">
    ensuite, pour vos saisies, utiliser plutôt la "touche tab"</t>
    </r>
    <r>
      <rPr>
        <b/>
        <u val="single"/>
        <sz val="14"/>
        <color indexed="10"/>
        <rFont val="Arial"/>
        <family val="2"/>
      </rPr>
      <t xml:space="preserve">
</t>
    </r>
    <r>
      <rPr>
        <b/>
        <u val="single"/>
        <sz val="12"/>
        <color indexed="10"/>
        <rFont val="Arial"/>
        <family val="2"/>
      </rPr>
      <t>Finalité de cet outil:</t>
    </r>
    <r>
      <rPr>
        <b/>
        <sz val="12"/>
        <color indexed="10"/>
        <rFont val="Arial"/>
        <family val="2"/>
      </rPr>
      <t xml:space="preserve"> savoir comment les fonctionnaires de la catégorie B seront reclassés dans le NOUVEAU STATUT B ("NES") prévu en 2010
</t>
    </r>
    <r>
      <rPr>
        <b/>
        <u val="single"/>
        <sz val="12"/>
        <color indexed="10"/>
        <rFont val="Arial"/>
        <family val="2"/>
      </rPr>
      <t>Mode d'emploi:</t>
    </r>
    <r>
      <rPr>
        <b/>
        <sz val="12"/>
        <color indexed="10"/>
        <rFont val="Arial"/>
        <family val="2"/>
      </rPr>
      <t xml:space="preserve">
- l'onglet 1 (celui-ci) ne sert qu'aux agents qui ont récemment changé de grade (le reliquat d'ancienneté figure dans l'arrêté de nomination), ils utiliseront ensuite l'onglet 2 ou 3 ou 4
- l'onglet 2 est destiné aux </t>
    </r>
    <r>
      <rPr>
        <b/>
        <u val="single"/>
        <sz val="12"/>
        <color indexed="10"/>
        <rFont val="Arial"/>
        <family val="2"/>
      </rPr>
      <t>B administratifs</t>
    </r>
    <r>
      <rPr>
        <b/>
        <sz val="12"/>
        <color indexed="10"/>
        <rFont val="Arial"/>
        <family val="2"/>
      </rPr>
      <t xml:space="preserve">
- l'onglet 3 est destiné aux </t>
    </r>
    <r>
      <rPr>
        <b/>
        <u val="single"/>
        <sz val="12"/>
        <color indexed="10"/>
        <rFont val="Arial"/>
        <family val="2"/>
      </rPr>
      <t>B administratifs dont la technicité aura été reconnue</t>
    </r>
    <r>
      <rPr>
        <b/>
        <sz val="12"/>
        <color indexed="10"/>
        <rFont val="Arial"/>
        <family val="2"/>
      </rPr>
      <t xml:space="preserve">
                           (la mesure ne concernera qu'une partie des B de l'ex ONIGC-AUP)
- l'onglet 4 s'adresse aux </t>
    </r>
    <r>
      <rPr>
        <b/>
        <u val="single"/>
        <sz val="12"/>
        <color indexed="10"/>
        <rFont val="Arial"/>
        <family val="2"/>
      </rPr>
      <t>B techniques</t>
    </r>
    <r>
      <rPr>
        <b/>
        <sz val="12"/>
        <color indexed="10"/>
        <rFont val="Arial"/>
        <family val="2"/>
      </rPr>
      <t xml:space="preserve">
- l'onglet 5 n'a pas à être utilisé, mais il pourra être visité par les curieux</t>
    </r>
  </si>
  <si>
    <r>
      <t xml:space="preserve">Valeur à servir si vous avez un </t>
    </r>
    <r>
      <rPr>
        <u val="single"/>
        <sz val="18"/>
        <rFont val="Arial"/>
        <family val="2"/>
      </rPr>
      <t>RELIQUAT D'ANCIENNETE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</si>
</sst>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"/>
    <numFmt numFmtId="173" formatCode="&quot;Vrai&quot;;&quot;Vrai&quot;;&quot;Faux&quot;"/>
    <numFmt numFmtId="174" formatCode="&quot;Actif&quot;;&quot;Actif&quot;;&quot;Inactif&quot;"/>
    <numFmt numFmtId="175" formatCode="#,###"/>
    <numFmt numFmtId="176" formatCode="\+#,###"/>
    <numFmt numFmtId="177" formatCode="\+#,##0"/>
    <numFmt numFmtId="178" formatCode="mmm\-yyyy"/>
    <numFmt numFmtId="179" formatCode="#,##0.00\ [$€-1];[Red]\-#,##0.00\ [$€-1]"/>
    <numFmt numFmtId="180" formatCode="dd\-mm\-yy"/>
    <numFmt numFmtId="181" formatCode="00"/>
  </numFmts>
  <fonts count="53">
    <font>
      <sz val="10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sz val="4"/>
      <name val="Arial"/>
      <family val="2"/>
    </font>
    <font>
      <i/>
      <sz val="12"/>
      <name val="Arial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"/>
      <family val="0"/>
    </font>
    <font>
      <sz val="18"/>
      <name val="Arial"/>
      <family val="2"/>
    </font>
    <font>
      <b/>
      <sz val="14"/>
      <color indexed="10"/>
      <name val="Arial"/>
      <family val="2"/>
    </font>
    <font>
      <b/>
      <i/>
      <sz val="12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i/>
      <sz val="20"/>
      <name val="Arial"/>
      <family val="2"/>
    </font>
    <font>
      <i/>
      <sz val="8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u val="single"/>
      <sz val="18"/>
      <name val="Arial"/>
      <family val="2"/>
    </font>
    <font>
      <u val="single"/>
      <sz val="10"/>
      <name val="Arial"/>
      <family val="2"/>
    </font>
    <font>
      <b/>
      <i/>
      <sz val="12"/>
      <color indexed="16"/>
      <name val="Arial"/>
      <family val="2"/>
    </font>
    <font>
      <i/>
      <u val="single"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i/>
      <u val="single"/>
      <sz val="16"/>
      <color indexed="12"/>
      <name val="Arial"/>
      <family val="2"/>
    </font>
    <font>
      <b/>
      <i/>
      <sz val="16"/>
      <color indexed="12"/>
      <name val="Arial"/>
      <family val="2"/>
    </font>
    <font>
      <b/>
      <i/>
      <sz val="14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43"/>
      </patternFill>
    </fill>
    <fill>
      <patternFill patternType="solid">
        <fgColor indexed="65"/>
        <bgColor indexed="64"/>
      </patternFill>
    </fill>
    <fill>
      <patternFill patternType="lightUp"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ck"/>
      <bottom style="thin"/>
    </border>
    <border>
      <left style="hair"/>
      <right>
        <color indexed="63"/>
      </right>
      <top style="hair"/>
      <bottom style="hair"/>
    </border>
    <border>
      <left style="thick">
        <color indexed="52"/>
      </left>
      <right style="hair"/>
      <top style="hair"/>
      <bottom style="hair"/>
    </border>
    <border>
      <left style="thick">
        <color indexed="52"/>
      </left>
      <right style="hair"/>
      <top style="hair"/>
      <bottom style="thick">
        <color indexed="5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hair"/>
    </border>
    <border>
      <left style="hair"/>
      <right style="hair"/>
      <top style="thick">
        <color indexed="52"/>
      </top>
      <bottom style="hair"/>
    </border>
    <border>
      <left style="hair"/>
      <right style="thick">
        <color indexed="52"/>
      </right>
      <top style="thick">
        <color indexed="52"/>
      </top>
      <bottom style="hair"/>
    </border>
    <border>
      <left style="hair"/>
      <right style="thick">
        <color indexed="52"/>
      </right>
      <top style="hair"/>
      <bottom style="hair"/>
    </border>
    <border>
      <left style="hair"/>
      <right style="hair"/>
      <top style="hair"/>
      <bottom style="thick">
        <color indexed="52"/>
      </bottom>
    </border>
    <border>
      <left style="hair"/>
      <right style="thick">
        <color indexed="52"/>
      </right>
      <top style="hair"/>
      <bottom style="thick">
        <color indexed="5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>
        <color indexed="63"/>
      </right>
      <top style="thick"/>
      <bottom style="hair"/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>
        <color indexed="63"/>
      </left>
      <right style="hair"/>
      <top style="thick"/>
      <bottom style="hair"/>
    </border>
    <border>
      <left style="thick"/>
      <right style="hair"/>
      <top style="thick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>
        <color indexed="52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thick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 style="hair"/>
      <right style="hair"/>
      <top>
        <color indexed="63"/>
      </top>
      <bottom style="hair"/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ck">
        <color indexed="52"/>
      </top>
      <bottom style="hair"/>
    </border>
    <border>
      <left style="hair"/>
      <right style="thick">
        <color indexed="52"/>
      </right>
      <top style="hair"/>
      <bottom style="thick"/>
    </border>
    <border>
      <left>
        <color indexed="63"/>
      </left>
      <right style="hair"/>
      <top style="hair"/>
      <bottom style="thick">
        <color indexed="52"/>
      </bottom>
    </border>
    <border>
      <left style="hair"/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ck">
        <color indexed="52"/>
      </top>
      <bottom style="hair"/>
    </border>
    <border>
      <left style="hair"/>
      <right>
        <color indexed="63"/>
      </right>
      <top style="hair"/>
      <bottom style="thick">
        <color indexed="52"/>
      </bottom>
    </border>
    <border>
      <left style="thick">
        <color indexed="52"/>
      </left>
      <right style="hair"/>
      <top style="hair"/>
      <bottom style="thick"/>
    </border>
    <border>
      <left>
        <color indexed="63"/>
      </left>
      <right style="thick">
        <color indexed="52"/>
      </right>
      <top style="thick"/>
      <bottom style="hair"/>
    </border>
    <border>
      <left style="thick">
        <color indexed="52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>
        <color indexed="52"/>
      </left>
      <right>
        <color indexed="63"/>
      </right>
      <top>
        <color indexed="63"/>
      </top>
      <bottom style="hair"/>
    </border>
    <border>
      <left style="hair"/>
      <right style="thick">
        <color indexed="52"/>
      </right>
      <top style="hair"/>
      <bottom>
        <color indexed="63"/>
      </bottom>
    </border>
    <border>
      <left style="thick">
        <color indexed="52"/>
      </left>
      <right style="thick">
        <color indexed="52"/>
      </right>
      <top style="thick"/>
      <bottom style="hair"/>
    </border>
    <border>
      <left style="thick">
        <color indexed="52"/>
      </left>
      <right>
        <color indexed="63"/>
      </right>
      <top style="hair"/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hair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ck"/>
      <top>
        <color indexed="63"/>
      </top>
      <bottom style="hair"/>
    </border>
    <border>
      <left style="thin"/>
      <right style="thin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>
        <color indexed="5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5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72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5" fontId="3" fillId="3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1" fillId="3" borderId="10" xfId="0" applyFont="1" applyFill="1" applyBorder="1" applyAlignment="1">
      <alignment horizontal="center" vertical="center"/>
    </xf>
    <xf numFmtId="172" fontId="4" fillId="3" borderId="11" xfId="0" applyNumberFormat="1" applyFont="1" applyFill="1" applyBorder="1" applyAlignment="1" applyProtection="1">
      <alignment horizontal="center" vertical="center"/>
      <protection locked="0"/>
    </xf>
    <xf numFmtId="172" fontId="4" fillId="3" borderId="12" xfId="0" applyNumberFormat="1" applyFont="1" applyFill="1" applyBorder="1" applyAlignment="1" applyProtection="1">
      <alignment horizontal="center" vertical="center"/>
      <protection locked="0"/>
    </xf>
    <xf numFmtId="172" fontId="4" fillId="3" borderId="13" xfId="0" applyNumberFormat="1" applyFont="1" applyFill="1" applyBorder="1" applyAlignment="1" applyProtection="1">
      <alignment horizontal="center" vertical="center"/>
      <protection locked="0"/>
    </xf>
    <xf numFmtId="3" fontId="4" fillId="3" borderId="14" xfId="0" applyNumberFormat="1" applyFont="1" applyFill="1" applyBorder="1" applyAlignment="1" applyProtection="1">
      <alignment horizontal="center" vertical="center"/>
      <protection locked="0"/>
    </xf>
    <xf numFmtId="3" fontId="4" fillId="3" borderId="15" xfId="0" applyNumberFormat="1" applyFont="1" applyFill="1" applyBorder="1" applyAlignment="1" applyProtection="1">
      <alignment horizontal="center" vertical="center"/>
      <protection locked="0"/>
    </xf>
    <xf numFmtId="3" fontId="4" fillId="3" borderId="16" xfId="0" applyNumberFormat="1" applyFont="1" applyFill="1" applyBorder="1" applyAlignment="1" applyProtection="1">
      <alignment horizontal="center" vertical="center"/>
      <protection locked="0"/>
    </xf>
    <xf numFmtId="3" fontId="4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18" xfId="0" applyNumberFormat="1" applyFont="1" applyFill="1" applyBorder="1" applyAlignment="1" applyProtection="1">
      <alignment horizontal="center" vertical="center"/>
      <protection locked="0"/>
    </xf>
    <xf numFmtId="3" fontId="1" fillId="4" borderId="19" xfId="0" applyNumberFormat="1" applyFont="1" applyFill="1" applyBorder="1" applyAlignment="1" applyProtection="1">
      <alignment horizontal="center" vertical="center"/>
      <protection/>
    </xf>
    <xf numFmtId="3" fontId="1" fillId="4" borderId="20" xfId="0" applyNumberFormat="1" applyFont="1" applyFill="1" applyBorder="1" applyAlignment="1" applyProtection="1">
      <alignment horizontal="center" vertical="center"/>
      <protection/>
    </xf>
    <xf numFmtId="1" fontId="0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72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75" fontId="8" fillId="3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75" fontId="6" fillId="0" borderId="1" xfId="0" applyNumberFormat="1" applyFont="1" applyFill="1" applyBorder="1" applyAlignment="1">
      <alignment horizontal="center" vertical="center"/>
    </xf>
    <xf numFmtId="175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5" fontId="6" fillId="0" borderId="2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3" fontId="1" fillId="4" borderId="27" xfId="0" applyNumberFormat="1" applyFont="1" applyFill="1" applyBorder="1" applyAlignment="1" applyProtection="1">
      <alignment horizontal="center" vertical="center"/>
      <protection/>
    </xf>
    <xf numFmtId="3" fontId="1" fillId="4" borderId="28" xfId="0" applyNumberFormat="1" applyFont="1" applyFill="1" applyBorder="1" applyAlignment="1" applyProtection="1">
      <alignment horizontal="center" vertical="center"/>
      <protection/>
    </xf>
    <xf numFmtId="0" fontId="8" fillId="3" borderId="29" xfId="0" applyFont="1" applyFill="1" applyBorder="1" applyAlignment="1">
      <alignment horizontal="center" vertical="center"/>
    </xf>
    <xf numFmtId="175" fontId="8" fillId="3" borderId="29" xfId="0" applyNumberFormat="1" applyFont="1" applyFill="1" applyBorder="1" applyAlignment="1">
      <alignment horizontal="center" vertical="center"/>
    </xf>
    <xf numFmtId="175" fontId="6" fillId="0" borderId="29" xfId="0" applyNumberFormat="1" applyFont="1" applyFill="1" applyBorder="1" applyAlignment="1">
      <alignment horizontal="center" vertical="center"/>
    </xf>
    <xf numFmtId="175" fontId="6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center" vertical="center"/>
    </xf>
    <xf numFmtId="177" fontId="9" fillId="2" borderId="29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172" fontId="8" fillId="3" borderId="29" xfId="0" applyNumberFormat="1" applyFont="1" applyFill="1" applyBorder="1" applyAlignment="1">
      <alignment horizontal="center" vertical="center"/>
    </xf>
    <xf numFmtId="1" fontId="8" fillId="3" borderId="29" xfId="0" applyNumberFormat="1" applyFont="1" applyFill="1" applyBorder="1" applyAlignment="1">
      <alignment horizontal="center" vertical="center"/>
    </xf>
    <xf numFmtId="177" fontId="9" fillId="3" borderId="29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172" fontId="4" fillId="3" borderId="34" xfId="0" applyNumberFormat="1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175" fontId="8" fillId="3" borderId="36" xfId="0" applyNumberFormat="1" applyFont="1" applyFill="1" applyBorder="1" applyAlignment="1">
      <alignment horizontal="center" vertical="center"/>
    </xf>
    <xf numFmtId="175" fontId="6" fillId="0" borderId="36" xfId="0" applyNumberFormat="1" applyFont="1" applyFill="1" applyBorder="1" applyAlignment="1">
      <alignment horizontal="center" vertical="center"/>
    </xf>
    <xf numFmtId="175" fontId="6" fillId="0" borderId="37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177" fontId="9" fillId="2" borderId="36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172" fontId="8" fillId="3" borderId="36" xfId="0" applyNumberFormat="1" applyFont="1" applyFill="1" applyBorder="1" applyAlignment="1">
      <alignment horizontal="center" vertical="center"/>
    </xf>
    <xf numFmtId="1" fontId="8" fillId="3" borderId="36" xfId="0" applyNumberFormat="1" applyFont="1" applyFill="1" applyBorder="1" applyAlignment="1">
      <alignment horizontal="center" vertical="center"/>
    </xf>
    <xf numFmtId="177" fontId="9" fillId="3" borderId="36" xfId="0" applyNumberFormat="1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175" fontId="8" fillId="3" borderId="41" xfId="0" applyNumberFormat="1" applyFont="1" applyFill="1" applyBorder="1" applyAlignment="1">
      <alignment horizontal="center" vertical="center"/>
    </xf>
    <xf numFmtId="175" fontId="6" fillId="0" borderId="41" xfId="0" applyNumberFormat="1" applyFont="1" applyFill="1" applyBorder="1" applyAlignment="1">
      <alignment horizontal="center" vertical="center"/>
    </xf>
    <xf numFmtId="175" fontId="6" fillId="0" borderId="25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3" fontId="8" fillId="2" borderId="41" xfId="0" applyNumberFormat="1" applyFont="1" applyFill="1" applyBorder="1" applyAlignment="1">
      <alignment horizontal="center" vertical="center"/>
    </xf>
    <xf numFmtId="177" fontId="9" fillId="2" borderId="41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172" fontId="8" fillId="3" borderId="41" xfId="0" applyNumberFormat="1" applyFont="1" applyFill="1" applyBorder="1" applyAlignment="1">
      <alignment horizontal="center" vertical="center"/>
    </xf>
    <xf numFmtId="1" fontId="8" fillId="3" borderId="41" xfId="0" applyNumberFormat="1" applyFont="1" applyFill="1" applyBorder="1" applyAlignment="1">
      <alignment horizontal="center" vertical="center"/>
    </xf>
    <xf numFmtId="177" fontId="9" fillId="3" borderId="41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172" fontId="8" fillId="3" borderId="2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3" fontId="11" fillId="3" borderId="36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5" borderId="43" xfId="0" applyFont="1" applyFill="1" applyBorder="1" applyAlignment="1">
      <alignment horizontal="center" vertical="center"/>
    </xf>
    <xf numFmtId="1" fontId="0" fillId="3" borderId="36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textRotation="90" wrapText="1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vertical="center" wrapText="1" indent="2"/>
    </xf>
    <xf numFmtId="0" fontId="0" fillId="0" borderId="35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center"/>
    </xf>
    <xf numFmtId="0" fontId="15" fillId="0" borderId="0" xfId="15" applyFont="1" applyAlignment="1">
      <alignment/>
    </xf>
    <xf numFmtId="3" fontId="8" fillId="3" borderId="29" xfId="0" applyNumberFormat="1" applyFont="1" applyFill="1" applyBorder="1" applyAlignment="1">
      <alignment horizontal="center" vertical="center"/>
    </xf>
    <xf numFmtId="172" fontId="8" fillId="2" borderId="29" xfId="0" applyNumberFormat="1" applyFont="1" applyFill="1" applyBorder="1" applyAlignment="1">
      <alignment horizontal="center" vertical="center"/>
    </xf>
    <xf numFmtId="175" fontId="8" fillId="2" borderId="29" xfId="0" applyNumberFormat="1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3" fontId="8" fillId="3" borderId="44" xfId="0" applyNumberFormat="1" applyFont="1" applyFill="1" applyBorder="1" applyAlignment="1">
      <alignment horizontal="center" vertical="center"/>
    </xf>
    <xf numFmtId="177" fontId="9" fillId="3" borderId="44" xfId="0" applyNumberFormat="1" applyFont="1" applyFill="1" applyBorder="1" applyAlignment="1">
      <alignment horizontal="center" vertical="center"/>
    </xf>
    <xf numFmtId="172" fontId="8" fillId="2" borderId="44" xfId="0" applyNumberFormat="1" applyFont="1" applyFill="1" applyBorder="1" applyAlignment="1">
      <alignment horizontal="center" vertical="center"/>
    </xf>
    <xf numFmtId="175" fontId="8" fillId="2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172" fontId="8" fillId="2" borderId="1" xfId="0" applyNumberFormat="1" applyFont="1" applyFill="1" applyBorder="1" applyAlignment="1">
      <alignment horizontal="center" vertical="center"/>
    </xf>
    <xf numFmtId="3" fontId="8" fillId="3" borderId="36" xfId="0" applyNumberFormat="1" applyFont="1" applyFill="1" applyBorder="1" applyAlignment="1">
      <alignment horizontal="center" vertical="center"/>
    </xf>
    <xf numFmtId="172" fontId="8" fillId="2" borderId="36" xfId="0" applyNumberFormat="1" applyFont="1" applyFill="1" applyBorder="1" applyAlignment="1">
      <alignment horizontal="center" vertical="center"/>
    </xf>
    <xf numFmtId="175" fontId="8" fillId="2" borderId="36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 applyProtection="1">
      <alignment horizontal="center" vertical="center"/>
      <protection locked="0"/>
    </xf>
    <xf numFmtId="3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>
      <alignment horizontal="center" vertical="center"/>
    </xf>
    <xf numFmtId="0" fontId="4" fillId="5" borderId="45" xfId="0" applyNumberFormat="1" applyFont="1" applyFill="1" applyBorder="1" applyAlignment="1" applyProtection="1">
      <alignment vertical="center"/>
      <protection/>
    </xf>
    <xf numFmtId="0" fontId="0" fillId="0" borderId="46" xfId="0" applyBorder="1" applyAlignment="1">
      <alignment horizontal="left" vertical="center" indent="2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5" borderId="45" xfId="0" applyNumberFormat="1" applyFont="1" applyFill="1" applyBorder="1" applyAlignment="1" applyProtection="1">
      <alignment/>
      <protection/>
    </xf>
    <xf numFmtId="0" fontId="4" fillId="5" borderId="43" xfId="0" applyFont="1" applyFill="1" applyBorder="1" applyAlignment="1">
      <alignment horizontal="center"/>
    </xf>
    <xf numFmtId="3" fontId="4" fillId="3" borderId="47" xfId="0" applyNumberFormat="1" applyFont="1" applyFill="1" applyBorder="1" applyAlignment="1" applyProtection="1">
      <alignment horizontal="center" vertical="center"/>
      <protection locked="0"/>
    </xf>
    <xf numFmtId="3" fontId="4" fillId="3" borderId="21" xfId="0" applyNumberFormat="1" applyFont="1" applyFill="1" applyBorder="1" applyAlignment="1" applyProtection="1">
      <alignment horizontal="center" vertical="center"/>
      <protection locked="0"/>
    </xf>
    <xf numFmtId="3" fontId="4" fillId="3" borderId="48" xfId="0" applyNumberFormat="1" applyFont="1" applyFill="1" applyBorder="1" applyAlignment="1" applyProtection="1">
      <alignment horizontal="center" vertical="center"/>
      <protection locked="0"/>
    </xf>
    <xf numFmtId="3" fontId="4" fillId="3" borderId="4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/>
    </xf>
    <xf numFmtId="3" fontId="11" fillId="3" borderId="36" xfId="0" applyNumberFormat="1" applyFont="1" applyFill="1" applyBorder="1" applyAlignment="1" applyProtection="1">
      <alignment horizontal="center" vertical="center" wrapText="1"/>
      <protection/>
    </xf>
    <xf numFmtId="3" fontId="4" fillId="3" borderId="14" xfId="0" applyNumberFormat="1" applyFont="1" applyFill="1" applyBorder="1" applyAlignment="1" applyProtection="1">
      <alignment horizontal="center" vertical="center"/>
      <protection/>
    </xf>
    <xf numFmtId="3" fontId="4" fillId="3" borderId="1" xfId="0" applyNumberFormat="1" applyFont="1" applyFill="1" applyBorder="1" applyAlignment="1" applyProtection="1">
      <alignment horizontal="center" vertical="center"/>
      <protection/>
    </xf>
    <xf numFmtId="3" fontId="4" fillId="2" borderId="14" xfId="0" applyNumberFormat="1" applyFont="1" applyFill="1" applyBorder="1" applyAlignment="1" applyProtection="1">
      <alignment horizontal="center" vertical="center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3" fontId="4" fillId="3" borderId="17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left" vertical="center"/>
      <protection/>
    </xf>
    <xf numFmtId="172" fontId="0" fillId="3" borderId="1" xfId="0" applyNumberFormat="1" applyFont="1" applyFill="1" applyBorder="1" applyAlignment="1" applyProtection="1">
      <alignment horizontal="center" vertical="center"/>
      <protection/>
    </xf>
    <xf numFmtId="3" fontId="0" fillId="3" borderId="1" xfId="0" applyNumberFormat="1" applyFont="1" applyFill="1" applyBorder="1" applyAlignment="1" applyProtection="1">
      <alignment horizontal="center" vertical="center"/>
      <protection/>
    </xf>
    <xf numFmtId="172" fontId="4" fillId="3" borderId="46" xfId="0" applyNumberFormat="1" applyFont="1" applyFill="1" applyBorder="1" applyAlignment="1" applyProtection="1">
      <alignment horizontal="center" vertical="center"/>
      <protection/>
    </xf>
    <xf numFmtId="172" fontId="4" fillId="2" borderId="46" xfId="0" applyNumberFormat="1" applyFont="1" applyFill="1" applyBorder="1" applyAlignment="1" applyProtection="1">
      <alignment horizontal="center" vertical="center"/>
      <protection/>
    </xf>
    <xf numFmtId="172" fontId="4" fillId="2" borderId="35" xfId="0" applyNumberFormat="1" applyFont="1" applyFill="1" applyBorder="1" applyAlignment="1" applyProtection="1">
      <alignment horizontal="center" vertical="center"/>
      <protection/>
    </xf>
    <xf numFmtId="172" fontId="4" fillId="3" borderId="49" xfId="0" applyNumberFormat="1" applyFont="1" applyFill="1" applyBorder="1" applyAlignment="1" applyProtection="1">
      <alignment horizontal="center" vertical="center"/>
      <protection/>
    </xf>
    <xf numFmtId="3" fontId="11" fillId="3" borderId="33" xfId="0" applyNumberFormat="1" applyFont="1" applyFill="1" applyBorder="1" applyAlignment="1" applyProtection="1">
      <alignment horizontal="center" vertical="center" wrapText="1"/>
      <protection/>
    </xf>
    <xf numFmtId="3" fontId="1" fillId="4" borderId="50" xfId="0" applyNumberFormat="1" applyFont="1" applyFill="1" applyBorder="1" applyAlignment="1" applyProtection="1">
      <alignment horizontal="center" vertical="center"/>
      <protection/>
    </xf>
    <xf numFmtId="3" fontId="4" fillId="3" borderId="51" xfId="0" applyNumberFormat="1" applyFont="1" applyFill="1" applyBorder="1" applyAlignment="1" applyProtection="1">
      <alignment horizontal="center" vertical="center"/>
      <protection/>
    </xf>
    <xf numFmtId="3" fontId="4" fillId="3" borderId="10" xfId="0" applyNumberFormat="1" applyFont="1" applyFill="1" applyBorder="1" applyAlignment="1" applyProtection="1">
      <alignment horizontal="center" vertical="center"/>
      <protection/>
    </xf>
    <xf numFmtId="3" fontId="4" fillId="2" borderId="51" xfId="0" applyNumberFormat="1" applyFont="1" applyFill="1" applyBorder="1" applyAlignment="1" applyProtection="1">
      <alignment horizontal="center" vertical="center"/>
      <protection/>
    </xf>
    <xf numFmtId="3" fontId="4" fillId="2" borderId="10" xfId="0" applyNumberFormat="1" applyFont="1" applyFill="1" applyBorder="1" applyAlignment="1" applyProtection="1">
      <alignment horizontal="center" vertical="center"/>
      <protection/>
    </xf>
    <xf numFmtId="3" fontId="4" fillId="3" borderId="52" xfId="0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72" fontId="4" fillId="3" borderId="53" xfId="0" applyNumberFormat="1" applyFont="1" applyFill="1" applyBorder="1" applyAlignment="1" applyProtection="1">
      <alignment horizontal="center" vertical="center"/>
      <protection locked="0"/>
    </xf>
    <xf numFmtId="172" fontId="4" fillId="3" borderId="0" xfId="0" applyNumberFormat="1" applyFont="1" applyFill="1" applyBorder="1" applyAlignment="1" applyProtection="1">
      <alignment horizontal="center" vertical="center"/>
      <protection/>
    </xf>
    <xf numFmtId="3" fontId="4" fillId="3" borderId="36" xfId="0" applyNumberFormat="1" applyFont="1" applyFill="1" applyBorder="1" applyAlignment="1" applyProtection="1">
      <alignment horizontal="center" vertical="center"/>
      <protection/>
    </xf>
    <xf numFmtId="3" fontId="4" fillId="3" borderId="33" xfId="0" applyNumberFormat="1" applyFont="1" applyFill="1" applyBorder="1" applyAlignment="1" applyProtection="1">
      <alignment horizontal="center" vertical="center"/>
      <protection/>
    </xf>
    <xf numFmtId="172" fontId="4" fillId="2" borderId="54" xfId="0" applyNumberFormat="1" applyFont="1" applyFill="1" applyBorder="1" applyAlignment="1" applyProtection="1">
      <alignment horizontal="center" vertical="center"/>
      <protection/>
    </xf>
    <xf numFmtId="3" fontId="1" fillId="6" borderId="27" xfId="0" applyNumberFormat="1" applyFont="1" applyFill="1" applyBorder="1" applyAlignment="1" applyProtection="1">
      <alignment horizontal="center" vertical="center"/>
      <protection/>
    </xf>
    <xf numFmtId="3" fontId="1" fillId="6" borderId="50" xfId="0" applyNumberFormat="1" applyFont="1" applyFill="1" applyBorder="1" applyAlignment="1" applyProtection="1">
      <alignment horizontal="center" vertical="center"/>
      <protection/>
    </xf>
    <xf numFmtId="3" fontId="11" fillId="2" borderId="36" xfId="0" applyNumberFormat="1" applyFont="1" applyFill="1" applyBorder="1" applyAlignment="1">
      <alignment horizontal="center" vertical="center" wrapText="1"/>
    </xf>
    <xf numFmtId="3" fontId="1" fillId="6" borderId="28" xfId="0" applyNumberFormat="1" applyFont="1" applyFill="1" applyBorder="1" applyAlignment="1" applyProtection="1">
      <alignment horizontal="center" vertical="center"/>
      <protection/>
    </xf>
    <xf numFmtId="172" fontId="4" fillId="2" borderId="55" xfId="0" applyNumberFormat="1" applyFont="1" applyFill="1" applyBorder="1" applyAlignment="1" applyProtection="1">
      <alignment horizontal="center" vertical="center"/>
      <protection locked="0"/>
    </xf>
    <xf numFmtId="172" fontId="4" fillId="2" borderId="11" xfId="0" applyNumberFormat="1" applyFont="1" applyFill="1" applyBorder="1" applyAlignment="1" applyProtection="1">
      <alignment horizontal="center" vertical="center"/>
      <protection locked="0"/>
    </xf>
    <xf numFmtId="3" fontId="4" fillId="2" borderId="47" xfId="0" applyNumberFormat="1" applyFont="1" applyFill="1" applyBorder="1" applyAlignment="1" applyProtection="1">
      <alignment horizontal="center" vertical="center"/>
      <protection locked="0"/>
    </xf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>
      <alignment horizontal="center" vertical="center" textRotation="90" wrapText="1"/>
    </xf>
    <xf numFmtId="0" fontId="8" fillId="3" borderId="56" xfId="0" applyFont="1" applyFill="1" applyBorder="1" applyAlignment="1">
      <alignment horizontal="center" vertical="center"/>
    </xf>
    <xf numFmtId="175" fontId="8" fillId="3" borderId="44" xfId="0" applyNumberFormat="1" applyFont="1" applyFill="1" applyBorder="1" applyAlignment="1">
      <alignment horizontal="center" vertical="center"/>
    </xf>
    <xf numFmtId="175" fontId="6" fillId="0" borderId="44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72" fontId="4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>
      <alignment horizontal="left" vertical="center" wrapText="1" indent="2"/>
    </xf>
    <xf numFmtId="0" fontId="0" fillId="0" borderId="46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172" fontId="4" fillId="3" borderId="58" xfId="0" applyNumberFormat="1" applyFont="1" applyFill="1" applyBorder="1" applyAlignment="1" applyProtection="1">
      <alignment horizontal="center" vertical="center"/>
      <protection/>
    </xf>
    <xf numFmtId="3" fontId="4" fillId="3" borderId="15" xfId="0" applyNumberFormat="1" applyFont="1" applyFill="1" applyBorder="1" applyAlignment="1" applyProtection="1">
      <alignment horizontal="center" vertical="center"/>
      <protection/>
    </xf>
    <xf numFmtId="3" fontId="4" fillId="3" borderId="16" xfId="0" applyNumberFormat="1" applyFont="1" applyFill="1" applyBorder="1" applyAlignment="1" applyProtection="1">
      <alignment horizontal="center" vertical="center"/>
      <protection/>
    </xf>
    <xf numFmtId="172" fontId="4" fillId="2" borderId="58" xfId="0" applyNumberFormat="1" applyFont="1" applyFill="1" applyBorder="1" applyAlignment="1" applyProtection="1">
      <alignment horizontal="center" vertical="center"/>
      <protection/>
    </xf>
    <xf numFmtId="3" fontId="4" fillId="2" borderId="15" xfId="0" applyNumberFormat="1" applyFont="1" applyFill="1" applyBorder="1" applyAlignment="1" applyProtection="1">
      <alignment horizontal="center" vertical="center"/>
      <protection/>
    </xf>
    <xf numFmtId="3" fontId="4" fillId="2" borderId="16" xfId="0" applyNumberFormat="1" applyFont="1" applyFill="1" applyBorder="1" applyAlignment="1" applyProtection="1">
      <alignment horizontal="center" vertical="center"/>
      <protection/>
    </xf>
    <xf numFmtId="172" fontId="4" fillId="2" borderId="34" xfId="0" applyNumberFormat="1" applyFont="1" applyFill="1" applyBorder="1" applyAlignment="1" applyProtection="1">
      <alignment horizontal="center" vertical="center"/>
      <protection/>
    </xf>
    <xf numFmtId="172" fontId="4" fillId="3" borderId="12" xfId="0" applyNumberFormat="1" applyFont="1" applyFill="1" applyBorder="1" applyAlignment="1" applyProtection="1">
      <alignment horizontal="center" vertical="center"/>
      <protection/>
    </xf>
    <xf numFmtId="3" fontId="4" fillId="3" borderId="18" xfId="0" applyNumberFormat="1" applyFont="1" applyFill="1" applyBorder="1" applyAlignment="1" applyProtection="1">
      <alignment horizontal="center" vertical="center"/>
      <protection/>
    </xf>
    <xf numFmtId="1" fontId="0" fillId="2" borderId="20" xfId="0" applyNumberFormat="1" applyFont="1" applyFill="1" applyBorder="1" applyAlignment="1">
      <alignment horizontal="center" vertical="center" wrapText="1"/>
    </xf>
    <xf numFmtId="175" fontId="6" fillId="0" borderId="26" xfId="0" applyNumberFormat="1" applyFont="1" applyFill="1" applyBorder="1" applyAlignment="1">
      <alignment horizontal="center" vertical="center"/>
    </xf>
    <xf numFmtId="175" fontId="6" fillId="0" borderId="39" xfId="0" applyNumberFormat="1" applyFont="1" applyFill="1" applyBorder="1" applyAlignment="1">
      <alignment horizontal="center" vertical="center"/>
    </xf>
    <xf numFmtId="3" fontId="4" fillId="2" borderId="35" xfId="0" applyNumberFormat="1" applyFont="1" applyFill="1" applyBorder="1" applyAlignment="1" applyProtection="1">
      <alignment horizontal="center" vertical="center"/>
      <protection locked="0"/>
    </xf>
    <xf numFmtId="3" fontId="4" fillId="2" borderId="59" xfId="0" applyNumberFormat="1" applyFont="1" applyFill="1" applyBorder="1" applyAlignment="1" applyProtection="1">
      <alignment horizontal="center" vertical="center"/>
      <protection locked="0"/>
    </xf>
    <xf numFmtId="3" fontId="4" fillId="2" borderId="36" xfId="0" applyNumberFormat="1" applyFont="1" applyFill="1" applyBorder="1" applyAlignment="1" applyProtection="1">
      <alignment horizontal="center" vertical="center"/>
      <protection/>
    </xf>
    <xf numFmtId="3" fontId="4" fillId="2" borderId="33" xfId="0" applyNumberFormat="1" applyFont="1" applyFill="1" applyBorder="1" applyAlignment="1" applyProtection="1">
      <alignment horizontal="center" vertical="center"/>
      <protection/>
    </xf>
    <xf numFmtId="3" fontId="4" fillId="2" borderId="59" xfId="0" applyNumberFormat="1" applyFont="1" applyFill="1" applyBorder="1" applyAlignment="1" applyProtection="1">
      <alignment horizontal="center" vertical="center"/>
      <protection/>
    </xf>
    <xf numFmtId="172" fontId="4" fillId="3" borderId="60" xfId="0" applyNumberFormat="1" applyFont="1" applyFill="1" applyBorder="1" applyAlignment="1" applyProtection="1">
      <alignment horizontal="center" vertical="center"/>
      <protection locked="0"/>
    </xf>
    <xf numFmtId="172" fontId="4" fillId="3" borderId="54" xfId="0" applyNumberFormat="1" applyFont="1" applyFill="1" applyBorder="1" applyAlignment="1" applyProtection="1">
      <alignment horizontal="center" vertical="center"/>
      <protection/>
    </xf>
    <xf numFmtId="172" fontId="4" fillId="3" borderId="60" xfId="0" applyNumberFormat="1" applyFont="1" applyFill="1" applyBorder="1" applyAlignment="1" applyProtection="1">
      <alignment horizontal="center" vertical="center"/>
      <protection/>
    </xf>
    <xf numFmtId="172" fontId="4" fillId="2" borderId="61" xfId="0" applyNumberFormat="1" applyFont="1" applyFill="1" applyBorder="1" applyAlignment="1" applyProtection="1">
      <alignment horizontal="center" vertical="center"/>
      <protection locked="0"/>
    </xf>
    <xf numFmtId="3" fontId="4" fillId="2" borderId="36" xfId="0" applyNumberFormat="1" applyFont="1" applyFill="1" applyBorder="1" applyAlignment="1" applyProtection="1">
      <alignment horizontal="center" vertical="center"/>
      <protection locked="0"/>
    </xf>
    <xf numFmtId="172" fontId="4" fillId="3" borderId="62" xfId="0" applyNumberFormat="1" applyFont="1" applyFill="1" applyBorder="1" applyAlignment="1" applyProtection="1">
      <alignment horizontal="center" vertical="center"/>
      <protection/>
    </xf>
    <xf numFmtId="3" fontId="4" fillId="3" borderId="59" xfId="0" applyNumberFormat="1" applyFont="1" applyFill="1" applyBorder="1" applyAlignment="1" applyProtection="1">
      <alignment horizontal="center" vertical="center"/>
      <protection/>
    </xf>
    <xf numFmtId="172" fontId="4" fillId="2" borderId="60" xfId="0" applyNumberFormat="1" applyFont="1" applyFill="1" applyBorder="1" applyAlignment="1" applyProtection="1">
      <alignment horizontal="center" vertical="center"/>
      <protection locked="0"/>
    </xf>
    <xf numFmtId="172" fontId="4" fillId="2" borderId="60" xfId="0" applyNumberFormat="1" applyFont="1" applyFill="1" applyBorder="1" applyAlignment="1" applyProtection="1">
      <alignment horizontal="center" vertical="center"/>
      <protection/>
    </xf>
    <xf numFmtId="0" fontId="17" fillId="2" borderId="26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/>
    </xf>
    <xf numFmtId="0" fontId="21" fillId="2" borderId="64" xfId="0" applyFont="1" applyFill="1" applyBorder="1" applyAlignment="1">
      <alignment horizontal="center" vertical="center"/>
    </xf>
    <xf numFmtId="0" fontId="21" fillId="2" borderId="65" xfId="0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21" fillId="3" borderId="64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horizontal="center" vertical="center"/>
    </xf>
    <xf numFmtId="175" fontId="6" fillId="0" borderId="57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33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1" fontId="21" fillId="2" borderId="36" xfId="0" applyNumberFormat="1" applyFont="1" applyFill="1" applyBorder="1" applyAlignment="1">
      <alignment horizontal="center" vertical="center"/>
    </xf>
    <xf numFmtId="1" fontId="21" fillId="3" borderId="29" xfId="0" applyNumberFormat="1" applyFont="1" applyFill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/>
    </xf>
    <xf numFmtId="1" fontId="21" fillId="3" borderId="41" xfId="0" applyNumberFormat="1" applyFont="1" applyFill="1" applyBorder="1" applyAlignment="1">
      <alignment horizontal="center" vertical="center"/>
    </xf>
    <xf numFmtId="172" fontId="25" fillId="2" borderId="67" xfId="0" applyNumberFormat="1" applyFont="1" applyFill="1" applyBorder="1" applyAlignment="1">
      <alignment horizontal="center" vertical="center"/>
    </xf>
    <xf numFmtId="172" fontId="25" fillId="2" borderId="68" xfId="0" applyNumberFormat="1" applyFont="1" applyFill="1" applyBorder="1" applyAlignment="1">
      <alignment horizontal="center" vertical="center"/>
    </xf>
    <xf numFmtId="172" fontId="25" fillId="2" borderId="69" xfId="0" applyNumberFormat="1" applyFont="1" applyFill="1" applyBorder="1" applyAlignment="1">
      <alignment horizontal="center" vertical="center"/>
    </xf>
    <xf numFmtId="172" fontId="25" fillId="3" borderId="67" xfId="0" applyNumberFormat="1" applyFont="1" applyFill="1" applyBorder="1" applyAlignment="1">
      <alignment horizontal="center" vertical="center"/>
    </xf>
    <xf numFmtId="172" fontId="25" fillId="3" borderId="68" xfId="0" applyNumberFormat="1" applyFont="1" applyFill="1" applyBorder="1" applyAlignment="1">
      <alignment horizontal="center" vertical="center"/>
    </xf>
    <xf numFmtId="172" fontId="25" fillId="3" borderId="70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15" applyFont="1" applyAlignment="1">
      <alignment/>
    </xf>
    <xf numFmtId="0" fontId="28" fillId="0" borderId="0" xfId="0" applyFont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right"/>
    </xf>
    <xf numFmtId="172" fontId="1" fillId="2" borderId="3" xfId="0" applyNumberFormat="1" applyFont="1" applyFill="1" applyBorder="1" applyAlignment="1">
      <alignment horizontal="center"/>
    </xf>
    <xf numFmtId="0" fontId="31" fillId="7" borderId="71" xfId="0" applyFont="1" applyFill="1" applyBorder="1" applyAlignment="1">
      <alignment horizontal="right"/>
    </xf>
    <xf numFmtId="0" fontId="31" fillId="7" borderId="72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 vertical="center"/>
    </xf>
    <xf numFmtId="1" fontId="8" fillId="2" borderId="29" xfId="0" applyNumberFormat="1" applyFont="1" applyFill="1" applyBorder="1" applyAlignment="1">
      <alignment horizontal="center" vertical="center"/>
    </xf>
    <xf numFmtId="172" fontId="4" fillId="3" borderId="58" xfId="0" applyNumberFormat="1" applyFont="1" applyFill="1" applyBorder="1" applyAlignment="1" applyProtection="1">
      <alignment horizontal="center" vertical="center"/>
      <protection locked="0"/>
    </xf>
    <xf numFmtId="175" fontId="6" fillId="0" borderId="7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1" fontId="8" fillId="2" borderId="36" xfId="0" applyNumberFormat="1" applyFont="1" applyFill="1" applyBorder="1" applyAlignment="1">
      <alignment horizontal="center" vertical="center"/>
    </xf>
    <xf numFmtId="172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1" fillId="6" borderId="19" xfId="0" applyNumberFormat="1" applyFont="1" applyFill="1" applyBorder="1" applyAlignment="1" applyProtection="1">
      <alignment horizontal="center" vertical="center"/>
      <protection/>
    </xf>
    <xf numFmtId="3" fontId="1" fillId="6" borderId="20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/>
    </xf>
    <xf numFmtId="172" fontId="4" fillId="2" borderId="58" xfId="0" applyNumberFormat="1" applyFont="1" applyFill="1" applyBorder="1" applyAlignment="1" applyProtection="1">
      <alignment horizontal="center" vertical="center"/>
      <protection locked="0"/>
    </xf>
    <xf numFmtId="3" fontId="4" fillId="2" borderId="17" xfId="0" applyNumberFormat="1" applyFont="1" applyFill="1" applyBorder="1" applyAlignment="1" applyProtection="1">
      <alignment horizontal="center" vertical="center"/>
      <protection locked="0"/>
    </xf>
    <xf numFmtId="3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172" fontId="38" fillId="2" borderId="67" xfId="0" applyNumberFormat="1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40" fillId="2" borderId="29" xfId="0" applyFont="1" applyFill="1" applyBorder="1" applyAlignment="1">
      <alignment horizontal="center" vertical="center"/>
    </xf>
    <xf numFmtId="3" fontId="40" fillId="2" borderId="29" xfId="0" applyNumberFormat="1" applyFont="1" applyFill="1" applyBorder="1" applyAlignment="1">
      <alignment horizontal="center" vertical="center"/>
    </xf>
    <xf numFmtId="177" fontId="41" fillId="2" borderId="29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2" fontId="38" fillId="2" borderId="68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177" fontId="41" fillId="2" borderId="1" xfId="0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2" fontId="38" fillId="2" borderId="69" xfId="0" applyNumberFormat="1" applyFont="1" applyFill="1" applyBorder="1" applyAlignment="1">
      <alignment horizontal="center" vertical="center"/>
    </xf>
    <xf numFmtId="0" fontId="39" fillId="2" borderId="36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3" fontId="40" fillId="2" borderId="36" xfId="0" applyNumberFormat="1" applyFont="1" applyFill="1" applyBorder="1" applyAlignment="1">
      <alignment horizontal="center" vertical="center"/>
    </xf>
    <xf numFmtId="177" fontId="41" fillId="2" borderId="36" xfId="0" applyNumberFormat="1" applyFont="1" applyFill="1" applyBorder="1" applyAlignment="1">
      <alignment horizontal="center" vertical="center"/>
    </xf>
    <xf numFmtId="172" fontId="38" fillId="3" borderId="67" xfId="0" applyNumberFormat="1" applyFont="1" applyFill="1" applyBorder="1" applyAlignment="1">
      <alignment horizontal="center" vertical="center"/>
    </xf>
    <xf numFmtId="0" fontId="39" fillId="3" borderId="29" xfId="0" applyFont="1" applyFill="1" applyBorder="1" applyAlignment="1">
      <alignment horizontal="center" vertical="center"/>
    </xf>
    <xf numFmtId="0" fontId="40" fillId="3" borderId="29" xfId="0" applyFont="1" applyFill="1" applyBorder="1" applyAlignment="1">
      <alignment horizontal="center" vertical="center"/>
    </xf>
    <xf numFmtId="3" fontId="40" fillId="3" borderId="29" xfId="0" applyNumberFormat="1" applyFont="1" applyFill="1" applyBorder="1" applyAlignment="1">
      <alignment horizontal="center" vertical="center"/>
    </xf>
    <xf numFmtId="177" fontId="41" fillId="3" borderId="29" xfId="0" applyNumberFormat="1" applyFont="1" applyFill="1" applyBorder="1" applyAlignment="1">
      <alignment horizontal="center" vertical="center"/>
    </xf>
    <xf numFmtId="172" fontId="38" fillId="3" borderId="68" xfId="0" applyNumberFormat="1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3" fontId="40" fillId="3" borderId="1" xfId="0" applyNumberFormat="1" applyFont="1" applyFill="1" applyBorder="1" applyAlignment="1">
      <alignment horizontal="center" vertical="center"/>
    </xf>
    <xf numFmtId="177" fontId="41" fillId="3" borderId="1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172" fontId="38" fillId="3" borderId="63" xfId="0" applyNumberFormat="1" applyFont="1" applyFill="1" applyBorder="1" applyAlignment="1">
      <alignment horizontal="center" vertical="center"/>
    </xf>
    <xf numFmtId="0" fontId="39" fillId="3" borderId="41" xfId="0" applyFont="1" applyFill="1" applyBorder="1" applyAlignment="1">
      <alignment horizontal="center" vertical="center"/>
    </xf>
    <xf numFmtId="0" fontId="40" fillId="3" borderId="41" xfId="0" applyFont="1" applyFill="1" applyBorder="1" applyAlignment="1">
      <alignment horizontal="center" vertical="center"/>
    </xf>
    <xf numFmtId="3" fontId="40" fillId="3" borderId="41" xfId="0" applyNumberFormat="1" applyFont="1" applyFill="1" applyBorder="1" applyAlignment="1">
      <alignment horizontal="center" vertical="center"/>
    </xf>
    <xf numFmtId="177" fontId="41" fillId="3" borderId="4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left" vertical="center"/>
    </xf>
    <xf numFmtId="181" fontId="44" fillId="7" borderId="72" xfId="0" applyNumberFormat="1" applyFont="1" applyFill="1" applyBorder="1" applyAlignment="1">
      <alignment horizontal="center"/>
    </xf>
    <xf numFmtId="172" fontId="44" fillId="7" borderId="42" xfId="0" applyNumberFormat="1" applyFont="1" applyFill="1" applyBorder="1" applyAlignment="1">
      <alignment horizontal="left"/>
    </xf>
    <xf numFmtId="0" fontId="46" fillId="0" borderId="0" xfId="0" applyFont="1" applyAlignment="1">
      <alignment horizontal="right"/>
    </xf>
    <xf numFmtId="172" fontId="1" fillId="3" borderId="3" xfId="0" applyNumberFormat="1" applyFont="1" applyFill="1" applyBorder="1" applyAlignment="1" applyProtection="1">
      <alignment horizontal="center"/>
      <protection locked="0"/>
    </xf>
    <xf numFmtId="14" fontId="0" fillId="0" borderId="74" xfId="0" applyNumberFormat="1" applyBorder="1" applyAlignment="1">
      <alignment horizontal="center" vertical="center"/>
    </xf>
    <xf numFmtId="4" fontId="0" fillId="0" borderId="74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4" fontId="47" fillId="0" borderId="6" xfId="0" applyNumberFormat="1" applyFont="1" applyBorder="1" applyAlignment="1">
      <alignment horizontal="center" vertical="center"/>
    </xf>
    <xf numFmtId="4" fontId="47" fillId="0" borderId="76" xfId="0" applyNumberFormat="1" applyFont="1" applyBorder="1" applyAlignment="1">
      <alignment horizontal="center" vertical="center"/>
    </xf>
    <xf numFmtId="0" fontId="47" fillId="0" borderId="6" xfId="0" applyFont="1" applyBorder="1" applyAlignment="1">
      <alignment vertical="center"/>
    </xf>
    <xf numFmtId="0" fontId="4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2" fillId="2" borderId="6" xfId="0" applyFont="1" applyFill="1" applyBorder="1" applyAlignment="1" applyProtection="1">
      <alignment horizontal="center" vertical="center"/>
      <protection locked="0"/>
    </xf>
    <xf numFmtId="179" fontId="2" fillId="2" borderId="6" xfId="0" applyNumberFormat="1" applyFont="1" applyFill="1" applyBorder="1" applyAlignment="1" applyProtection="1">
      <alignment horizontal="center" vertical="center"/>
      <protection locked="0"/>
    </xf>
    <xf numFmtId="14" fontId="2" fillId="2" borderId="6" xfId="0" applyNumberFormat="1" applyFont="1" applyFill="1" applyBorder="1" applyAlignment="1" applyProtection="1">
      <alignment horizontal="center" vertical="center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77" xfId="0" applyNumberFormat="1" applyFont="1" applyFill="1" applyBorder="1" applyAlignment="1" applyProtection="1">
      <alignment horizontal="left" vertical="center"/>
      <protection locked="0"/>
    </xf>
    <xf numFmtId="14" fontId="4" fillId="2" borderId="77" xfId="0" applyNumberFormat="1" applyFont="1" applyFill="1" applyBorder="1" applyAlignment="1" applyProtection="1">
      <alignment horizontal="left"/>
      <protection locked="0"/>
    </xf>
    <xf numFmtId="0" fontId="0" fillId="3" borderId="20" xfId="0" applyFill="1" applyBorder="1" applyAlignment="1">
      <alignment horizontal="center" vertical="center" wrapText="1"/>
    </xf>
    <xf numFmtId="175" fontId="0" fillId="3" borderId="3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175" fontId="5" fillId="0" borderId="3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75" fontId="0" fillId="0" borderId="36" xfId="0" applyNumberFormat="1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172" fontId="0" fillId="3" borderId="36" xfId="0" applyNumberFormat="1" applyFont="1" applyFill="1" applyBorder="1" applyAlignment="1">
      <alignment horizontal="center" vertical="center" wrapText="1"/>
    </xf>
    <xf numFmtId="172" fontId="0" fillId="3" borderId="20" xfId="0" applyNumberForma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3" fontId="0" fillId="2" borderId="36" xfId="0" applyNumberFormat="1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6" xfId="0" applyBorder="1" applyAlignment="1">
      <alignment wrapText="1"/>
    </xf>
    <xf numFmtId="0" fontId="10" fillId="0" borderId="46" xfId="0" applyFont="1" applyFill="1" applyBorder="1" applyAlignment="1">
      <alignment horizontal="left" vertical="center" wrapText="1" indent="2"/>
    </xf>
    <xf numFmtId="0" fontId="0" fillId="0" borderId="46" xfId="0" applyBorder="1" applyAlignment="1">
      <alignment horizontal="left" vertical="center" indent="2"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175" fontId="5" fillId="0" borderId="33" xfId="0" applyNumberFormat="1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2" fontId="12" fillId="3" borderId="36" xfId="0" applyNumberFormat="1" applyFont="1" applyFill="1" applyBorder="1" applyAlignment="1">
      <alignment horizontal="center" vertical="center" wrapText="1"/>
    </xf>
    <xf numFmtId="172" fontId="0" fillId="3" borderId="20" xfId="0" applyNumberFormat="1" applyFont="1" applyFill="1" applyBorder="1" applyAlignment="1">
      <alignment horizontal="center" vertical="center"/>
    </xf>
    <xf numFmtId="175" fontId="0" fillId="2" borderId="20" xfId="0" applyNumberFormat="1" applyFont="1" applyFill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2" fontId="12" fillId="2" borderId="20" xfId="0" applyNumberFormat="1" applyFont="1" applyFill="1" applyBorder="1" applyAlignment="1">
      <alignment horizontal="center" vertical="center" wrapText="1"/>
    </xf>
    <xf numFmtId="172" fontId="0" fillId="2" borderId="20" xfId="0" applyNumberFormat="1" applyFill="1" applyBorder="1" applyAlignment="1">
      <alignment horizontal="center" vertical="center"/>
    </xf>
    <xf numFmtId="3" fontId="0" fillId="3" borderId="20" xfId="0" applyNumberFormat="1" applyFont="1" applyFill="1" applyBorder="1" applyAlignment="1">
      <alignment horizontal="center" vertical="center" wrapText="1"/>
    </xf>
    <xf numFmtId="175" fontId="5" fillId="0" borderId="20" xfId="0" applyNumberFormat="1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3" fontId="0" fillId="3" borderId="10" xfId="0" applyNumberFormat="1" applyFont="1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 applyProtection="1">
      <alignment horizontal="center" vertical="center"/>
      <protection/>
    </xf>
    <xf numFmtId="172" fontId="0" fillId="3" borderId="36" xfId="0" applyNumberFormat="1" applyFont="1" applyFill="1" applyBorder="1" applyAlignment="1" applyProtection="1">
      <alignment horizontal="center" vertical="center" wrapText="1"/>
      <protection/>
    </xf>
    <xf numFmtId="172" fontId="0" fillId="3" borderId="20" xfId="0" applyNumberFormat="1" applyFill="1" applyBorder="1" applyAlignment="1" applyProtection="1">
      <alignment horizontal="center" vertical="center"/>
      <protection/>
    </xf>
    <xf numFmtId="175" fontId="0" fillId="2" borderId="36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172" fontId="5" fillId="2" borderId="1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172" fontId="0" fillId="2" borderId="36" xfId="0" applyNumberFormat="1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172" fontId="0" fillId="3" borderId="35" xfId="0" applyNumberFormat="1" applyFont="1" applyFill="1" applyBorder="1" applyAlignment="1" applyProtection="1">
      <alignment horizontal="center" vertical="center" wrapText="1"/>
      <protection/>
    </xf>
    <xf numFmtId="172" fontId="0" fillId="3" borderId="19" xfId="0" applyNumberFormat="1" applyFill="1" applyBorder="1" applyAlignment="1" applyProtection="1">
      <alignment horizontal="center" vertical="center"/>
      <protection/>
    </xf>
    <xf numFmtId="0" fontId="0" fillId="3" borderId="65" xfId="0" applyFill="1" applyBorder="1" applyAlignment="1" applyProtection="1">
      <alignment horizontal="center" vertical="center"/>
      <protection/>
    </xf>
    <xf numFmtId="0" fontId="33" fillId="0" borderId="71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2" fontId="0" fillId="2" borderId="20" xfId="0" applyNumberFormat="1" applyFont="1" applyFill="1" applyBorder="1" applyAlignment="1">
      <alignment horizontal="center" vertical="center" wrapText="1"/>
    </xf>
    <xf numFmtId="172" fontId="0" fillId="2" borderId="20" xfId="0" applyNumberFormat="1" applyFont="1" applyFill="1" applyBorder="1" applyAlignment="1">
      <alignment horizontal="center" vertical="center"/>
    </xf>
    <xf numFmtId="0" fontId="4" fillId="8" borderId="79" xfId="0" applyFont="1" applyFill="1" applyBorder="1" applyAlignment="1">
      <alignment horizontal="center" vertical="center" textRotation="90" wrapText="1"/>
    </xf>
    <xf numFmtId="0" fontId="4" fillId="8" borderId="80" xfId="0" applyFont="1" applyFill="1" applyBorder="1" applyAlignment="1">
      <alignment horizontal="center" vertical="center" textRotation="90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28</xdr:row>
      <xdr:rowOff>95250</xdr:rowOff>
    </xdr:from>
    <xdr:to>
      <xdr:col>0</xdr:col>
      <xdr:colOff>476250</xdr:colOff>
      <xdr:row>29</xdr:row>
      <xdr:rowOff>142875</xdr:rowOff>
    </xdr:to>
    <xdr:sp>
      <xdr:nvSpPr>
        <xdr:cNvPr id="1" name="Line 2"/>
        <xdr:cNvSpPr>
          <a:spLocks/>
        </xdr:cNvSpPr>
      </xdr:nvSpPr>
      <xdr:spPr>
        <a:xfrm flipH="1">
          <a:off x="457200" y="5600700"/>
          <a:ext cx="19050" cy="238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114300</xdr:rowOff>
    </xdr:from>
    <xdr:to>
      <xdr:col>2</xdr:col>
      <xdr:colOff>457200</xdr:colOff>
      <xdr:row>29</xdr:row>
      <xdr:rowOff>161925</xdr:rowOff>
    </xdr:to>
    <xdr:sp>
      <xdr:nvSpPr>
        <xdr:cNvPr id="2" name="Line 12"/>
        <xdr:cNvSpPr>
          <a:spLocks/>
        </xdr:cNvSpPr>
      </xdr:nvSpPr>
      <xdr:spPr>
        <a:xfrm flipH="1">
          <a:off x="1962150" y="5619750"/>
          <a:ext cx="19050" cy="238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123825</xdr:rowOff>
    </xdr:from>
    <xdr:to>
      <xdr:col>4</xdr:col>
      <xdr:colOff>28575</xdr:colOff>
      <xdr:row>29</xdr:row>
      <xdr:rowOff>171450</xdr:rowOff>
    </xdr:to>
    <xdr:sp>
      <xdr:nvSpPr>
        <xdr:cNvPr id="3" name="Line 13"/>
        <xdr:cNvSpPr>
          <a:spLocks/>
        </xdr:cNvSpPr>
      </xdr:nvSpPr>
      <xdr:spPr>
        <a:xfrm flipH="1">
          <a:off x="3057525" y="5629275"/>
          <a:ext cx="19050" cy="238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28</xdr:row>
      <xdr:rowOff>104775</xdr:rowOff>
    </xdr:from>
    <xdr:to>
      <xdr:col>5</xdr:col>
      <xdr:colOff>790575</xdr:colOff>
      <xdr:row>29</xdr:row>
      <xdr:rowOff>152400</xdr:rowOff>
    </xdr:to>
    <xdr:sp>
      <xdr:nvSpPr>
        <xdr:cNvPr id="4" name="Line 14"/>
        <xdr:cNvSpPr>
          <a:spLocks/>
        </xdr:cNvSpPr>
      </xdr:nvSpPr>
      <xdr:spPr>
        <a:xfrm flipH="1">
          <a:off x="4581525" y="5610225"/>
          <a:ext cx="19050" cy="238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123825</xdr:rowOff>
    </xdr:from>
    <xdr:to>
      <xdr:col>9</xdr:col>
      <xdr:colOff>285750</xdr:colOff>
      <xdr:row>29</xdr:row>
      <xdr:rowOff>171450</xdr:rowOff>
    </xdr:to>
    <xdr:sp>
      <xdr:nvSpPr>
        <xdr:cNvPr id="5" name="Line 15"/>
        <xdr:cNvSpPr>
          <a:spLocks/>
        </xdr:cNvSpPr>
      </xdr:nvSpPr>
      <xdr:spPr>
        <a:xfrm flipH="1">
          <a:off x="6191250" y="5629275"/>
          <a:ext cx="19050" cy="238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504825</xdr:rowOff>
    </xdr:from>
    <xdr:to>
      <xdr:col>2</xdr:col>
      <xdr:colOff>304800</xdr:colOff>
      <xdr:row>0</xdr:row>
      <xdr:rowOff>971550</xdr:rowOff>
    </xdr:to>
    <xdr:sp>
      <xdr:nvSpPr>
        <xdr:cNvPr id="1" name="Line 3"/>
        <xdr:cNvSpPr>
          <a:spLocks/>
        </xdr:cNvSpPr>
      </xdr:nvSpPr>
      <xdr:spPr>
        <a:xfrm flipH="1">
          <a:off x="1219200" y="504825"/>
          <a:ext cx="276225" cy="466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600075</xdr:rowOff>
    </xdr:from>
    <xdr:to>
      <xdr:col>2</xdr:col>
      <xdr:colOff>361950</xdr:colOff>
      <xdr:row>0</xdr:row>
      <xdr:rowOff>1219200</xdr:rowOff>
    </xdr:to>
    <xdr:sp>
      <xdr:nvSpPr>
        <xdr:cNvPr id="1" name="Line 3"/>
        <xdr:cNvSpPr>
          <a:spLocks/>
        </xdr:cNvSpPr>
      </xdr:nvSpPr>
      <xdr:spPr>
        <a:xfrm flipH="1">
          <a:off x="1609725" y="600075"/>
          <a:ext cx="276225" cy="6191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723900</xdr:rowOff>
    </xdr:from>
    <xdr:to>
      <xdr:col>2</xdr:col>
      <xdr:colOff>219075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304925" y="723900"/>
          <a:ext cx="200025" cy="457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onction-publique.gouv.fr/IMG/QR_statut_catB.pdf" TargetMode="External" /><Relationship Id="rId2" Type="http://schemas.openxmlformats.org/officeDocument/2006/relationships/hyperlink" Target="http://www2.lifl.fr/~beaufils/pub/pouvoir_achat.archives/20080511/%5BSite_Fonction_Publique%5D_R&#195;&#169;mun&#195;&#169;ration_principale/" TargetMode="External" /><Relationship Id="rId3" Type="http://schemas.openxmlformats.org/officeDocument/2006/relationships/hyperlink" Target="http://www.insee.fr/fr/themes/tableau.asp?ref_id=NATnon04145" TargetMode="External" /><Relationship Id="rId4" Type="http://schemas.openxmlformats.org/officeDocument/2006/relationships/oleObject" Target="../embeddings/oleObject_4_0.bin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F4" sqref="F4"/>
    </sheetView>
  </sheetViews>
  <sheetFormatPr defaultColWidth="11.421875" defaultRowHeight="12.75"/>
  <cols>
    <col min="1" max="5" width="11.421875" style="310" customWidth="1"/>
    <col min="6" max="6" width="12.7109375" style="310" bestFit="1" customWidth="1"/>
    <col min="7" max="7" width="3.7109375" style="310" customWidth="1"/>
    <col min="8" max="8" width="12.7109375" style="310" bestFit="1" customWidth="1"/>
    <col min="9" max="9" width="2.57421875" style="310" customWidth="1"/>
    <col min="10" max="10" width="11.57421875" style="310" bestFit="1" customWidth="1"/>
    <col min="11" max="13" width="0" style="310" hidden="1" customWidth="1"/>
    <col min="14" max="16384" width="11.421875" style="310" customWidth="1"/>
  </cols>
  <sheetData>
    <row r="1" spans="1:7" ht="23.25">
      <c r="A1" s="404"/>
      <c r="B1" s="404"/>
      <c r="G1" s="311" t="s">
        <v>132</v>
      </c>
    </row>
    <row r="2" spans="1:7" ht="15.75">
      <c r="A2" s="404"/>
      <c r="B2" s="404"/>
      <c r="G2" s="312" t="s">
        <v>124</v>
      </c>
    </row>
    <row r="3" spans="1:2" ht="15">
      <c r="A3" s="404"/>
      <c r="B3" s="404"/>
    </row>
    <row r="4" spans="1:6" ht="15.75">
      <c r="A4" s="404"/>
      <c r="B4" s="404"/>
      <c r="E4" s="383" t="s">
        <v>96</v>
      </c>
      <c r="F4" s="384"/>
    </row>
    <row r="5" spans="1:6" ht="15">
      <c r="A5" s="404"/>
      <c r="B5" s="404"/>
      <c r="E5" s="313"/>
      <c r="F5" s="312" t="s">
        <v>125</v>
      </c>
    </row>
    <row r="6" spans="1:6" ht="15">
      <c r="A6" s="404"/>
      <c r="B6" s="404"/>
      <c r="E6" s="313"/>
      <c r="F6" s="313"/>
    </row>
    <row r="7" spans="1:8" ht="15">
      <c r="A7" s="404"/>
      <c r="B7" s="404"/>
      <c r="E7" s="313"/>
      <c r="F7" s="313"/>
      <c r="G7" s="313"/>
      <c r="H7" s="313"/>
    </row>
    <row r="8" spans="5:13" ht="15.75">
      <c r="E8" s="383" t="s">
        <v>97</v>
      </c>
      <c r="F8" s="314"/>
      <c r="H8" s="314"/>
      <c r="J8" s="314"/>
      <c r="K8" s="310">
        <f>F8*(365.25)</f>
        <v>0</v>
      </c>
      <c r="L8" s="310">
        <f>H8*(365.25/12)</f>
        <v>0</v>
      </c>
      <c r="M8" s="310">
        <f>J8+K8+L8</f>
        <v>0</v>
      </c>
    </row>
    <row r="9" spans="6:10" ht="15">
      <c r="F9" s="312" t="s">
        <v>98</v>
      </c>
      <c r="G9" s="312"/>
      <c r="H9" s="312" t="s">
        <v>99</v>
      </c>
      <c r="I9" s="312"/>
      <c r="J9" s="312" t="s">
        <v>100</v>
      </c>
    </row>
    <row r="10" spans="6:10" ht="15">
      <c r="F10" s="312"/>
      <c r="G10" s="312"/>
      <c r="H10" s="312"/>
      <c r="I10" s="312"/>
      <c r="J10" s="312"/>
    </row>
    <row r="11" spans="7:9" ht="18">
      <c r="G11" s="315" t="s">
        <v>128</v>
      </c>
      <c r="H11" s="316">
        <f>IF(F4="","",SUM(F4-M8))</f>
      </c>
      <c r="I11" s="395" t="s">
        <v>129</v>
      </c>
    </row>
    <row r="12" ht="15">
      <c r="H12" s="312" t="s">
        <v>125</v>
      </c>
    </row>
    <row r="13" spans="1:4" ht="15">
      <c r="A13" s="317" t="s">
        <v>102</v>
      </c>
      <c r="B13" s="381">
        <v>6</v>
      </c>
      <c r="C13" s="318" t="s">
        <v>101</v>
      </c>
      <c r="D13" s="382">
        <v>40087</v>
      </c>
    </row>
    <row r="14" spans="2:16" ht="15">
      <c r="B14" s="405" t="s">
        <v>131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</row>
    <row r="15" spans="2:16" ht="15"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</row>
    <row r="16" spans="2:16" ht="15"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</row>
    <row r="17" spans="2:16" ht="15"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</row>
    <row r="18" spans="2:16" ht="15"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</row>
    <row r="19" spans="2:16" ht="15"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</row>
    <row r="20" spans="2:16" ht="15"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</row>
    <row r="21" spans="2:16" ht="15"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</row>
    <row r="22" spans="2:16" ht="15"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</row>
    <row r="23" spans="2:16" ht="15"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</row>
    <row r="24" spans="2:16" ht="15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</row>
    <row r="25" spans="2:16" ht="15"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</row>
    <row r="26" spans="2:16" ht="15"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</row>
    <row r="27" spans="2:16" ht="15"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</row>
    <row r="28" spans="2:16" ht="15"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</row>
    <row r="29" spans="2:16" ht="15"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</row>
    <row r="30" spans="2:16" ht="15"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</row>
    <row r="31" ht="15"/>
  </sheetData>
  <sheetProtection sheet="1" objects="1" scenarios="1"/>
  <mergeCells count="2">
    <mergeCell ref="A1:B7"/>
    <mergeCell ref="B14:P30"/>
  </mergeCells>
  <printOptions/>
  <pageMargins left="0.75" right="0.75" top="1" bottom="1" header="0.4921259845" footer="0.4921259845"/>
  <pageSetup fitToHeight="1" fitToWidth="1" horizontalDpi="600" verticalDpi="600" orientation="landscape" paperSize="9" scale="94" r:id="rId7"/>
  <headerFooter alignWithMargins="0">
    <oddFooter>&amp;Rédité le &amp;D</oddFooter>
  </headerFooter>
  <drawing r:id="rId6"/>
  <legacyDrawing r:id="rId5"/>
  <oleObjects>
    <oleObject progId="PBrush" shapeId="31781953" r:id="rId1"/>
    <oleObject progId="Paint.Picture" shapeId="12566303" r:id="rId2"/>
    <oleObject progId="Paint.Picture" shapeId="17089952" r:id="rId3"/>
    <oleObject progId="Paint.Picture" shapeId="1735837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4" sqref="B4"/>
    </sheetView>
  </sheetViews>
  <sheetFormatPr defaultColWidth="11.421875" defaultRowHeight="12.75"/>
  <cols>
    <col min="1" max="1" width="7.7109375" style="42" bestFit="1" customWidth="1"/>
    <col min="2" max="2" width="10.140625" style="43" bestFit="1" customWidth="1"/>
    <col min="3" max="3" width="5.7109375" style="44" customWidth="1"/>
    <col min="4" max="4" width="6.7109375" style="44" customWidth="1"/>
    <col min="5" max="5" width="7.7109375" style="45" bestFit="1" customWidth="1"/>
    <col min="6" max="6" width="7.140625" style="42" customWidth="1"/>
    <col min="7" max="7" width="10.8515625" style="47" customWidth="1"/>
    <col min="8" max="8" width="11.57421875" style="84" customWidth="1"/>
    <col min="9" max="9" width="17.57421875" style="84" customWidth="1"/>
    <col min="10" max="10" width="25.7109375" style="3" bestFit="1" customWidth="1"/>
    <col min="11" max="11" width="47.7109375" style="3" bestFit="1" customWidth="1"/>
    <col min="12" max="12" width="9.28125" style="40" customWidth="1"/>
    <col min="13" max="13" width="9.140625" style="40" customWidth="1"/>
    <col min="14" max="14" width="15.7109375" style="40" customWidth="1"/>
    <col min="15" max="15" width="9.28125" style="41" customWidth="1"/>
    <col min="16" max="16" width="11.8515625" style="46" customWidth="1"/>
    <col min="17" max="17" width="11.57421875" style="84" customWidth="1"/>
    <col min="18" max="18" width="18.28125" style="86" customWidth="1"/>
    <col min="19" max="19" width="12.8515625" style="43" bestFit="1" customWidth="1"/>
    <col min="20" max="20" width="7.7109375" style="73" bestFit="1" customWidth="1"/>
    <col min="21" max="21" width="15.7109375" style="42" customWidth="1"/>
    <col min="22" max="22" width="8.28125" style="42" bestFit="1" customWidth="1"/>
    <col min="23" max="23" width="14.57421875" style="45" customWidth="1"/>
    <col min="24" max="24" width="8.00390625" style="3" hidden="1" customWidth="1"/>
    <col min="25" max="25" width="6.140625" style="4" hidden="1" customWidth="1"/>
    <col min="26" max="26" width="7.00390625" style="3" hidden="1" customWidth="1"/>
    <col min="27" max="16384" width="11.421875" style="3" customWidth="1"/>
  </cols>
  <sheetData>
    <row r="1" spans="1:26" ht="84" customHeight="1">
      <c r="A1" s="152"/>
      <c r="B1" s="153"/>
      <c r="C1" s="426" t="s">
        <v>104</v>
      </c>
      <c r="D1" s="427"/>
      <c r="E1" s="427"/>
      <c r="F1" s="428"/>
      <c r="G1" s="429" t="s">
        <v>112</v>
      </c>
      <c r="H1" s="430"/>
      <c r="I1" s="430"/>
      <c r="J1" s="430"/>
      <c r="K1" s="430"/>
      <c r="L1" s="431" t="s">
        <v>95</v>
      </c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155"/>
      <c r="Y1" s="145"/>
      <c r="Z1" s="144"/>
    </row>
    <row r="2" spans="1:26" ht="48" customHeight="1">
      <c r="A2" s="411" t="s">
        <v>90</v>
      </c>
      <c r="B2" s="419" t="s">
        <v>34</v>
      </c>
      <c r="C2" s="433" t="s">
        <v>130</v>
      </c>
      <c r="D2" s="434"/>
      <c r="E2" s="411" t="s">
        <v>89</v>
      </c>
      <c r="F2" s="411" t="s">
        <v>87</v>
      </c>
      <c r="G2" s="403" t="s">
        <v>88</v>
      </c>
      <c r="H2" s="407" t="s">
        <v>29</v>
      </c>
      <c r="I2" s="435" t="s">
        <v>35</v>
      </c>
      <c r="J2" s="437" t="s">
        <v>31</v>
      </c>
      <c r="K2" s="438"/>
      <c r="L2" s="422" t="s">
        <v>73</v>
      </c>
      <c r="M2" s="416" t="s">
        <v>74</v>
      </c>
      <c r="N2" s="416" t="s">
        <v>91</v>
      </c>
      <c r="O2" s="425" t="s">
        <v>75</v>
      </c>
      <c r="P2" s="416" t="s">
        <v>92</v>
      </c>
      <c r="Q2" s="407" t="s">
        <v>29</v>
      </c>
      <c r="R2" s="407" t="s">
        <v>35</v>
      </c>
      <c r="S2" s="439" t="s">
        <v>93</v>
      </c>
      <c r="T2" s="150" t="s">
        <v>77</v>
      </c>
      <c r="U2" s="411" t="s">
        <v>94</v>
      </c>
      <c r="V2" s="403" t="s">
        <v>79</v>
      </c>
      <c r="W2" s="411" t="s">
        <v>42</v>
      </c>
      <c r="X2" s="414" t="s">
        <v>21</v>
      </c>
      <c r="Y2" s="412" t="s">
        <v>7</v>
      </c>
      <c r="Z2" s="409" t="s">
        <v>22</v>
      </c>
    </row>
    <row r="3" spans="1:26" ht="73.5" customHeight="1" thickBot="1">
      <c r="A3" s="418"/>
      <c r="B3" s="420"/>
      <c r="C3" s="146" t="s">
        <v>11</v>
      </c>
      <c r="D3" s="146" t="s">
        <v>12</v>
      </c>
      <c r="E3" s="421"/>
      <c r="F3" s="418"/>
      <c r="G3" s="421"/>
      <c r="H3" s="408"/>
      <c r="I3" s="436"/>
      <c r="J3" s="309" t="s">
        <v>30</v>
      </c>
      <c r="K3" s="309" t="s">
        <v>10</v>
      </c>
      <c r="L3" s="423"/>
      <c r="M3" s="424"/>
      <c r="N3" s="424"/>
      <c r="O3" s="424"/>
      <c r="P3" s="417"/>
      <c r="Q3" s="408"/>
      <c r="R3" s="408"/>
      <c r="S3" s="440"/>
      <c r="T3" s="151">
        <f>IF(T4="11"," &lt;&lt; SOMMET","")</f>
      </c>
      <c r="U3" s="402"/>
      <c r="V3" s="402"/>
      <c r="W3" s="415"/>
      <c r="X3" s="413"/>
      <c r="Y3" s="413"/>
      <c r="Z3" s="410"/>
    </row>
    <row r="4" spans="1:26" s="1" customFormat="1" ht="30" customHeight="1" thickBot="1" thickTop="1">
      <c r="A4" s="93" t="s">
        <v>3</v>
      </c>
      <c r="B4" s="65"/>
      <c r="C4" s="94"/>
      <c r="D4" s="95"/>
      <c r="E4" s="96">
        <v>7</v>
      </c>
      <c r="F4" s="96">
        <v>514</v>
      </c>
      <c r="G4" s="97">
        <f>F4*valeur_ind_maj</f>
        <v>2368.130783333333</v>
      </c>
      <c r="H4" s="98">
        <f>F4*valeur_IM_SMIC</f>
        <v>2915.410309401217</v>
      </c>
      <c r="I4" s="99">
        <f>G4-H4</f>
        <v>-547.279526067884</v>
      </c>
      <c r="J4" s="100">
        <f>IF($B4="","",(IF((date_réforme-$B4)&gt;((an*6)+1),"6 ans dans échelon",IF((date_réforme-$B4)&gt;((an*3)),"3 ans dans échelon","pas 3 ans dans échelon"))))</f>
      </c>
      <c r="K4" s="101">
        <f>IF($B4="","",(IF((date_réforme-$B4)&gt;((an*6)+1),"reclassement au-delà",IF((date_réforme-$B4)&gt;((an*3)),"reclassement au-delà","anc. acquise"))))</f>
      </c>
      <c r="L4" s="102">
        <f>IF(B4="","","3ème")</f>
      </c>
      <c r="M4" s="103">
        <f>IF($B4="","",(IF((date_réforme-$B4)&gt;((an*6)+1),"11",IF((date_réforme-$B4)&gt;((an*3)),"10","9"))))</f>
      </c>
      <c r="N4" s="103">
        <f>IF($B4="","",(IF(M4="11","551",(IF(M4="10","535",(IF(M4="9","519",(IF(M4="8","494",(IF(M4="7","471",(IF(M4="6","449",(IF(M4="5","428","ano")))))))))))))))</f>
      </c>
      <c r="O4" s="104">
        <f aca="true" t="shared" si="0" ref="O4:O31">IF($B4="","",(N4*valeur_ind_maj))</f>
      </c>
      <c r="P4" s="105">
        <f aca="true" t="shared" si="1" ref="P4:P31">IF($B4="","",O4-G4)</f>
      </c>
      <c r="Q4" s="106">
        <f>IF($B4="","",(N4*valeur_IM_SMIC))</f>
      </c>
      <c r="R4" s="106">
        <f>IF($B4="","",O4-H4)</f>
      </c>
      <c r="S4" s="107">
        <f>IF($B4="","",(IF((date_réforme-$B4)&gt;((an*6)+1),"sommet",IF((date_réforme-$B4)&gt;((an*3)),(date_réforme+(an*3))-(date_réforme-(an*3)-B4),(date_réforme)-(date_réforme-(an*3)-B4)))))</f>
      </c>
      <c r="T4" s="108">
        <f>IF($B4="","",(IF((date_réforme-$B4)&gt;((an*6)+1),"11",IF((date_réforme-$B4)&gt;((an*3)),"11","10"))))</f>
      </c>
      <c r="U4" s="96">
        <f>IF($B4="","",(IF(T4="11","551",(IF(T4="10","535",(IF(T4="9","519",(IF(T4="8","494",(IF(T4="7","471",(IF(T4="6","449",(IF(T4="5","428","ano")))))))))))))))</f>
      </c>
      <c r="V4" s="97">
        <f aca="true" t="shared" si="2" ref="V4:V31">IF($B4="","",(U4*valeur_ind_maj))</f>
      </c>
      <c r="W4" s="109">
        <f>IF($B4="","",V4-G4)</f>
      </c>
      <c r="X4" s="5">
        <f>IF($B4="","",(IF((date_réforme-$B4)&gt;((an*6)+1),"0",IF((date_réforme-$B4)&gt;((an*3)),(date_réforme-B4-(an*3)-1),(date_réforme-B4)))))</f>
      </c>
      <c r="Y4" s="5">
        <f aca="true" t="shared" si="3" ref="Y4:Y24">(C4*(an/12))+D4</f>
        <v>0</v>
      </c>
      <c r="Z4" s="5">
        <f>SUM(X4:Y4)</f>
        <v>0</v>
      </c>
    </row>
    <row r="5" spans="1:26" s="1" customFormat="1" ht="30" customHeight="1" thickTop="1">
      <c r="A5" s="62" t="s">
        <v>3</v>
      </c>
      <c r="B5" s="63"/>
      <c r="C5" s="66"/>
      <c r="D5" s="67"/>
      <c r="E5" s="82">
        <v>6</v>
      </c>
      <c r="F5" s="78">
        <v>490</v>
      </c>
      <c r="G5" s="79">
        <f aca="true" t="shared" si="4" ref="G5:G31">F5*valeur_ind_maj</f>
        <v>2257.5565833333335</v>
      </c>
      <c r="H5" s="83">
        <f aca="true" t="shared" si="5" ref="H5:H31">F5*valeur_IM_SMIC</f>
        <v>2779.2822015692536</v>
      </c>
      <c r="I5" s="88">
        <f aca="true" t="shared" si="6" ref="I5:I31">G5-H5</f>
        <v>-521.7256182359201</v>
      </c>
      <c r="J5" s="87"/>
      <c r="K5" s="89">
        <f>IF($B5="","","1/4 de l'anc. acquise + 2 ans")</f>
      </c>
      <c r="L5" s="90">
        <f aca="true" t="shared" si="7" ref="L5:L10">IF(B5="","","3ème")</f>
      </c>
      <c r="M5" s="74">
        <f>IF($B5="","","8")</f>
      </c>
      <c r="N5" s="74">
        <f>IF($B5="","",(IF(M5="11","551",(IF(M5="10","535",(IF(M5="9","519",(IF(M5="8","494",(IF(M5="7","471",(IF(M5="6","449",(IF(M5="5","428","ano")))))))))))))))</f>
      </c>
      <c r="O5" s="75">
        <f t="shared" si="0"/>
      </c>
      <c r="P5" s="80">
        <f t="shared" si="1"/>
      </c>
      <c r="Q5" s="85">
        <f aca="true" t="shared" si="8" ref="Q5:Q31">IF($B5="","",(N5*valeur_IM_SMIC))</f>
      </c>
      <c r="R5" s="85">
        <f aca="true" t="shared" si="9" ref="R5:R31">IF($B5="","",O5-H5)</f>
      </c>
      <c r="S5" s="76">
        <f>IF($B5="","",(date_réforme)+(an*3)-Z5)</f>
      </c>
      <c r="T5" s="77">
        <f>IF(M5="","",(M5+1))</f>
      </c>
      <c r="U5" s="78">
        <f>IF($B5="","",(IF(T5=11,"551",(IF(T5=10,"535",(IF(T5=9,"519",(IF(T5=8,"494",(IF(T5=7,"471",(IF(T5=6,"449",(IF(T5=5,"428","ano")))))))))))))))</f>
      </c>
      <c r="V5" s="79">
        <f t="shared" si="2"/>
      </c>
      <c r="W5" s="81">
        <f aca="true" t="shared" si="10" ref="W5:W31">IF($B5="","",V5-G5)</f>
      </c>
      <c r="X5" s="2">
        <f>IF($B5="","",((date_réforme-B5)/4)+(an*2))</f>
      </c>
      <c r="Y5" s="5">
        <f t="shared" si="3"/>
        <v>0</v>
      </c>
      <c r="Z5" s="5">
        <f aca="true" t="shared" si="11" ref="Z5:Z31">SUM(X5:Y5)</f>
        <v>0</v>
      </c>
    </row>
    <row r="6" spans="1:26" s="1" customFormat="1" ht="30" customHeight="1">
      <c r="A6" s="62" t="s">
        <v>3</v>
      </c>
      <c r="B6" s="63"/>
      <c r="C6" s="57"/>
      <c r="D6" s="68"/>
      <c r="E6" s="82">
        <v>5</v>
      </c>
      <c r="F6" s="78">
        <v>467</v>
      </c>
      <c r="G6" s="79">
        <f t="shared" si="4"/>
        <v>2151.5896416666665</v>
      </c>
      <c r="H6" s="83">
        <f t="shared" si="5"/>
        <v>2648.8260982302886</v>
      </c>
      <c r="I6" s="88">
        <f t="shared" si="6"/>
        <v>-497.23645656362214</v>
      </c>
      <c r="J6" s="87">
        <f>IF($B6="","",(IF((date_réforme-$B6)&gt;(an-1),"1 an dans échelon","pas 1 an dans échelon")))</f>
      </c>
      <c r="K6" s="89">
        <f>IF($B6="","",(IF((date_réforme-$B6)&gt;(an-1),"anc. acquise au-delà de 1 an","anc. acquise + 2 ans")))</f>
      </c>
      <c r="L6" s="90">
        <f t="shared" si="7"/>
      </c>
      <c r="M6" s="74">
        <f>IF($B6="","",(IF((date_réforme-$B6)&gt;(an-1),"8","7")))</f>
      </c>
      <c r="N6" s="74">
        <f>IF($B6="","",(IF(M6="11","551",(IF(M6="10","535",(IF(M6="9","519",(IF(M6="8","494",(IF(M6="7","471",(IF(M6="6","449",(IF(M6="5","428","ano")))))))))))))))</f>
      </c>
      <c r="O6" s="75">
        <f t="shared" si="0"/>
      </c>
      <c r="P6" s="80">
        <f t="shared" si="1"/>
      </c>
      <c r="Q6" s="85">
        <f t="shared" si="8"/>
      </c>
      <c r="R6" s="85">
        <f t="shared" si="9"/>
      </c>
      <c r="S6" s="76">
        <f>IF($B6="","",(date_réforme)+(an*3)-Z6)</f>
      </c>
      <c r="T6" s="77">
        <f>IF(M6="","",(M6+1))</f>
      </c>
      <c r="U6" s="78">
        <f>IF($B6="","",(IF(T6="11","551",(IF(T6="10","535",(IF(T6=9,"519",(IF(T6=8,"494",(IF(T6=7,"471",(IF(T6=6,"449",(IF(T6=5,"428","ano")))))))))))))))</f>
      </c>
      <c r="V6" s="79">
        <f t="shared" si="2"/>
      </c>
      <c r="W6" s="81">
        <f t="shared" si="10"/>
      </c>
      <c r="X6" s="1">
        <f>IF($B6="","",(IF((date_réforme-$B6)&gt;(an-1),(date_réforme-B6-an),(date_réforme-B6)+(an*2))))</f>
      </c>
      <c r="Y6" s="5">
        <f t="shared" si="3"/>
        <v>0</v>
      </c>
      <c r="Z6" s="5">
        <f t="shared" si="11"/>
        <v>0</v>
      </c>
    </row>
    <row r="7" spans="1:26" s="1" customFormat="1" ht="30" customHeight="1">
      <c r="A7" s="62" t="s">
        <v>3</v>
      </c>
      <c r="B7" s="63"/>
      <c r="C7" s="57"/>
      <c r="D7" s="68"/>
      <c r="E7" s="82">
        <v>4</v>
      </c>
      <c r="F7" s="78">
        <v>445</v>
      </c>
      <c r="G7" s="79">
        <f t="shared" si="4"/>
        <v>2050.2299583333333</v>
      </c>
      <c r="H7" s="83">
        <f t="shared" si="5"/>
        <v>2524.0419993843225</v>
      </c>
      <c r="I7" s="88">
        <f t="shared" si="6"/>
        <v>-473.81204105098914</v>
      </c>
      <c r="J7" s="87">
        <f>IF($B7="","",(IF((date_réforme-$B7)&gt;(an-1),"1 an dans échelon","pas 1 an dans échelon")))</f>
      </c>
      <c r="K7" s="89">
        <f>IF($B7="","",(IF((date_réforme-$B7)&gt;(an-1),"anc. acquise au-delà de 1 an","anc. acquise + 2 ans")))</f>
      </c>
      <c r="L7" s="90">
        <f t="shared" si="7"/>
      </c>
      <c r="M7" s="74">
        <f>IF($B7="","",(IF((date_réforme-$B7)&gt;(an-1),"7","6")))</f>
      </c>
      <c r="N7" s="74">
        <f>IF($B7="","",(IF(M7="11","551",(IF(M7="10","535",(IF(M7="9","519",(IF(M7="8","494",(IF(M7="7","471",(IF(M7="6","449",(IF(M7="5","428","ano")))))))))))))))</f>
      </c>
      <c r="O7" s="75">
        <f t="shared" si="0"/>
      </c>
      <c r="P7" s="80">
        <f t="shared" si="1"/>
      </c>
      <c r="Q7" s="85">
        <f t="shared" si="8"/>
      </c>
      <c r="R7" s="85">
        <f t="shared" si="9"/>
      </c>
      <c r="S7" s="76">
        <f>IF($B7="","",(IF((date_réforme-$B7)&gt;(an-1),(date_réforme)+(an*3)-Z7,(date_réforme)+(an*2)-Z7)))</f>
      </c>
      <c r="T7" s="77">
        <f>IF($M7="","",M7+1)</f>
      </c>
      <c r="U7" s="78">
        <f>IF($B7="","",(IF(T7="11","551",(IF(T7="10","535",(IF(T7=9,"519",(IF(T7=8,"494",(IF(T7=7,"471",(IF(T7=6,"449",(IF(T7=5,"428","ano")))))))))))))))</f>
      </c>
      <c r="V7" s="79">
        <f t="shared" si="2"/>
      </c>
      <c r="W7" s="81">
        <f t="shared" si="10"/>
      </c>
      <c r="X7" s="1">
        <f>IF($B7="","",(IF((date_réforme-$B7)&gt;(an-1),(date_réforme-B7-an),(date_réforme-B7+an))))</f>
      </c>
      <c r="Y7" s="5">
        <f t="shared" si="3"/>
        <v>0</v>
      </c>
      <c r="Z7" s="5">
        <f t="shared" si="11"/>
        <v>0</v>
      </c>
    </row>
    <row r="8" spans="1:26" s="1" customFormat="1" ht="30" customHeight="1">
      <c r="A8" s="62" t="s">
        <v>3</v>
      </c>
      <c r="B8" s="63"/>
      <c r="C8" s="57"/>
      <c r="D8" s="68"/>
      <c r="E8" s="82">
        <v>3</v>
      </c>
      <c r="F8" s="78">
        <v>421</v>
      </c>
      <c r="G8" s="79">
        <f t="shared" si="4"/>
        <v>1939.6557583333333</v>
      </c>
      <c r="H8" s="83">
        <f t="shared" si="5"/>
        <v>2387.913891552359</v>
      </c>
      <c r="I8" s="88">
        <f t="shared" si="6"/>
        <v>-448.2581332190257</v>
      </c>
      <c r="J8" s="87"/>
      <c r="K8" s="89">
        <f>IF($B8="","","2/5 de l'anc. acquise")</f>
      </c>
      <c r="L8" s="90">
        <f t="shared" si="7"/>
      </c>
      <c r="M8" s="74">
        <f>IF($B8="","","6")</f>
      </c>
      <c r="N8" s="74">
        <f>IF($B8="","",(IF(M8="11","551",(IF(M8="10","535",(IF(M8="9","519",(IF(M8="8","494",(IF(M8="7","471",(IF(M8="6","449",(IF(M8="5","428","ano")))))))))))))))</f>
      </c>
      <c r="O8" s="75">
        <f t="shared" si="0"/>
      </c>
      <c r="P8" s="80">
        <f t="shared" si="1"/>
      </c>
      <c r="Q8" s="85">
        <f t="shared" si="8"/>
      </c>
      <c r="R8" s="85">
        <f t="shared" si="9"/>
      </c>
      <c r="S8" s="76">
        <f>IF($B8="","",(date_réforme)+(an*2)-Z8)</f>
      </c>
      <c r="T8" s="77">
        <f>IF($M8="","",M8+1)</f>
      </c>
      <c r="U8" s="78">
        <f>IF($B8="","",(IF(T8="11","551",(IF(T8="10","535",(IF(T8=9,"519",(IF(T8=8,"494",(IF(T8=7,"471",(IF(T8=6,"449",(IF(T8=5,"428","ano")))))))))))))))</f>
      </c>
      <c r="V8" s="79">
        <f t="shared" si="2"/>
      </c>
      <c r="W8" s="81">
        <f t="shared" si="10"/>
      </c>
      <c r="X8" s="2">
        <f>IF($B8="","",((date_réforme-B8)*2/5))</f>
      </c>
      <c r="Y8" s="5">
        <f t="shared" si="3"/>
        <v>0</v>
      </c>
      <c r="Z8" s="5">
        <f t="shared" si="11"/>
        <v>0</v>
      </c>
    </row>
    <row r="9" spans="1:26" s="1" customFormat="1" ht="30" customHeight="1">
      <c r="A9" s="62" t="s">
        <v>3</v>
      </c>
      <c r="B9" s="63"/>
      <c r="C9" s="57"/>
      <c r="D9" s="68"/>
      <c r="E9" s="82">
        <v>2</v>
      </c>
      <c r="F9" s="78">
        <v>397</v>
      </c>
      <c r="G9" s="79">
        <f t="shared" si="4"/>
        <v>1829.0815583333333</v>
      </c>
      <c r="H9" s="83">
        <f t="shared" si="5"/>
        <v>2251.7857837203956</v>
      </c>
      <c r="I9" s="88">
        <f t="shared" si="6"/>
        <v>-422.70422538706225</v>
      </c>
      <c r="J9" s="87">
        <f>IF($B9="","",(IF((date_réforme-$B9)&gt;(an-1),"1 an dans échelon","pas 1 an dans échelon")))</f>
      </c>
      <c r="K9" s="89">
        <f>IF($B9="","",(IF((date_réforme-$B9)&gt;(an-1),"4/3 de l'anc. acquise au-delà de 1 an","2 fois anc. acquise")))</f>
      </c>
      <c r="L9" s="90">
        <f t="shared" si="7"/>
      </c>
      <c r="M9" s="74">
        <f>IF($B9="","",(IF((date_réforme-$B9)&gt;(an-1),"5","4")))</f>
      </c>
      <c r="N9" s="74">
        <f>IF($B9="","",(IF(M9="5","428",(IF(M9="4","410",(IF(M9="3","395",(IF(M9="2","380","365")))))))))</f>
      </c>
      <c r="O9" s="75">
        <f t="shared" si="0"/>
      </c>
      <c r="P9" s="80">
        <f t="shared" si="1"/>
      </c>
      <c r="Q9" s="85">
        <f t="shared" si="8"/>
      </c>
      <c r="R9" s="85">
        <f t="shared" si="9"/>
      </c>
      <c r="S9" s="76">
        <f>IF($B9="","",(date_réforme)+(an*2)-Z9)</f>
      </c>
      <c r="T9" s="77">
        <f>IF($M9="","",M9+1)</f>
      </c>
      <c r="U9" s="78">
        <f>IF($B9="","",(IF(T9="11","551",(IF(T9="10","535",(IF(T9=9,"519",(IF(T9=8,"494",(IF(T9=7,"471",(IF(T9=6,"449",(IF(T9=5,"428","ano")))))))))))))))</f>
      </c>
      <c r="V9" s="79">
        <f t="shared" si="2"/>
      </c>
      <c r="W9" s="81">
        <f t="shared" si="10"/>
      </c>
      <c r="X9" s="1">
        <f>IF($B9="","",(IF((date_réforme-$B9)&gt;(an-1),((date_réforme-B9-an)*4/3),((date_réforme-B9)*2))))</f>
      </c>
      <c r="Y9" s="5">
        <f t="shared" si="3"/>
        <v>0</v>
      </c>
      <c r="Z9" s="5">
        <f t="shared" si="11"/>
        <v>0</v>
      </c>
    </row>
    <row r="10" spans="1:26" s="1" customFormat="1" ht="30" customHeight="1" thickBot="1">
      <c r="A10" s="110" t="s">
        <v>3</v>
      </c>
      <c r="B10" s="111"/>
      <c r="C10" s="69"/>
      <c r="D10" s="70"/>
      <c r="E10" s="112">
        <v>1</v>
      </c>
      <c r="F10" s="113">
        <v>377</v>
      </c>
      <c r="G10" s="114">
        <f t="shared" si="4"/>
        <v>1736.9363916666666</v>
      </c>
      <c r="H10" s="115">
        <f t="shared" si="5"/>
        <v>2138.345693860426</v>
      </c>
      <c r="I10" s="116">
        <f t="shared" si="6"/>
        <v>-401.40930219375923</v>
      </c>
      <c r="J10" s="117"/>
      <c r="K10" s="118">
        <f>IF($B10="","","anc. acquise")</f>
      </c>
      <c r="L10" s="119">
        <f t="shared" si="7"/>
      </c>
      <c r="M10" s="120">
        <f>IF($B10="","","3")</f>
      </c>
      <c r="N10" s="120">
        <f>IF($B10="","",(IF(M10="5","428",(IF(M10="4","410",(IF(M10="3","395",(IF(M10="2","380","365")))))))))</f>
      </c>
      <c r="O10" s="121">
        <f t="shared" si="0"/>
      </c>
      <c r="P10" s="122">
        <f t="shared" si="1"/>
      </c>
      <c r="Q10" s="123">
        <f t="shared" si="8"/>
      </c>
      <c r="R10" s="123">
        <f t="shared" si="9"/>
      </c>
      <c r="S10" s="124">
        <f>IF($B10="","",(date_réforme)+(an*2)-Z10)</f>
      </c>
      <c r="T10" s="125">
        <f>IF($M10="","",M10+1)</f>
      </c>
      <c r="U10" s="113">
        <f>IF($B10="","",(IF(T10="11","551",(IF(T10="10","535",(IF(T10=9,"519",(IF(T10=8,"494",(IF(T10=7,"471",(IF(T10=6,"449",(IF(T10=4,"410","ano")))))))))))))))</f>
      </c>
      <c r="V10" s="114">
        <f t="shared" si="2"/>
      </c>
      <c r="W10" s="126">
        <f t="shared" si="10"/>
      </c>
      <c r="X10" s="1">
        <f>IF($B10="","",(date_réforme-B10))</f>
      </c>
      <c r="Y10" s="5">
        <f t="shared" si="3"/>
        <v>0</v>
      </c>
      <c r="Z10" s="5">
        <f t="shared" si="11"/>
        <v>0</v>
      </c>
    </row>
    <row r="11" spans="1:26" s="1" customFormat="1" ht="30" customHeight="1" thickBot="1" thickTop="1">
      <c r="A11" s="93" t="s">
        <v>4</v>
      </c>
      <c r="B11" s="65"/>
      <c r="C11" s="71"/>
      <c r="D11" s="72"/>
      <c r="E11" s="96">
        <v>8</v>
      </c>
      <c r="F11" s="96">
        <v>489</v>
      </c>
      <c r="G11" s="97">
        <f t="shared" si="4"/>
        <v>2252.949325</v>
      </c>
      <c r="H11" s="98">
        <f t="shared" si="5"/>
        <v>2773.610197076255</v>
      </c>
      <c r="I11" s="99">
        <f t="shared" si="6"/>
        <v>-520.6608720762551</v>
      </c>
      <c r="J11" s="100">
        <f>IF($B11="","",(IF((date_réforme-$B11)&gt;(an*2),"2 ans dans échelon","pas 2 ans dans échelon")))</f>
      </c>
      <c r="K11" s="101">
        <f>IF($B11="","",(IF((date_réforme-$B11)&gt;(an*2),"reclassement au-delà","anc. acquise + 2 ans")))</f>
      </c>
      <c r="L11" s="102">
        <f>IF(B11="","","2ème")</f>
      </c>
      <c r="M11" s="103">
        <f>IF($B11="","",(IF((date_réforme-$B11)&gt;(an*2),"13","12")))</f>
      </c>
      <c r="N11" s="103">
        <f>IF($B11="","",(IF(M11="13","515",(IF(M11="12","491",(IF(M11="11","468",(IF(M11="10","445","ano")))))))))</f>
      </c>
      <c r="O11" s="104">
        <f t="shared" si="0"/>
      </c>
      <c r="P11" s="105">
        <f t="shared" si="1"/>
      </c>
      <c r="Q11" s="106">
        <f t="shared" si="8"/>
      </c>
      <c r="R11" s="106">
        <f t="shared" si="9"/>
      </c>
      <c r="S11" s="107">
        <f>IF($B11="","",(IF((date_réforme-$B11)&gt;(an*2),"sommet",(date_réforme)+(an*4)-Z11)))</f>
      </c>
      <c r="T11" s="108">
        <f>IF($M11="","",IF($M11="13",13,M11+1))</f>
      </c>
      <c r="U11" s="96">
        <f>IF($B11="","",(IF(T11=13,"515",(IF(T11=12,"491",(IF(T11=11,"468",(IF(T11=10,"445",(IF(T11=9,"425",(IF(T11=8,"405",(IF(T11=7,"390","ano")))))))))))))))</f>
      </c>
      <c r="V11" s="97">
        <f t="shared" si="2"/>
      </c>
      <c r="W11" s="109">
        <f t="shared" si="10"/>
      </c>
      <c r="X11" s="1">
        <f>IF($B11="","",(IF((date_réforme-$B11)&gt;(an*2),"0",((date_réforme-B11)+(an*2)))))</f>
      </c>
      <c r="Y11" s="5">
        <f t="shared" si="3"/>
        <v>0</v>
      </c>
      <c r="Z11" s="5">
        <f t="shared" si="11"/>
        <v>0</v>
      </c>
    </row>
    <row r="12" spans="1:26" s="1" customFormat="1" ht="30" customHeight="1" thickTop="1">
      <c r="A12" s="62" t="s">
        <v>4</v>
      </c>
      <c r="B12" s="63"/>
      <c r="C12" s="66"/>
      <c r="D12" s="67"/>
      <c r="E12" s="82">
        <v>7</v>
      </c>
      <c r="F12" s="78">
        <v>465</v>
      </c>
      <c r="G12" s="79">
        <f t="shared" si="4"/>
        <v>2142.375125</v>
      </c>
      <c r="H12" s="83">
        <f t="shared" si="5"/>
        <v>2637.4820892442917</v>
      </c>
      <c r="I12" s="88">
        <f t="shared" si="6"/>
        <v>-495.1069642442917</v>
      </c>
      <c r="J12" s="87">
        <f>IF($B12="","",(IF((date_réforme-$B12)&gt;(an*2),"2 ans dans échelon","pas 2 ans dans échelon")))</f>
      </c>
      <c r="K12" s="89">
        <f>IF($B12="","",(IF((date_réforme-$B12)&gt;(an*2),"anc. acquise au-delà de 2 ans","anc. acquise + 2 ans")))</f>
      </c>
      <c r="L12" s="90">
        <f aca="true" t="shared" si="12" ref="L12:L18">IF(B12="","","2ème")</f>
      </c>
      <c r="M12" s="74">
        <f>IF($B12="","",(IF((date_réforme-$B12)&gt;(an*2),"12","11")))</f>
      </c>
      <c r="N12" s="74">
        <f>IF($B12="","",(IF(M12="13","515",(IF(M12="12","491",(IF(M12="11","468",(IF(M12="10","445","ano")))))))))</f>
      </c>
      <c r="O12" s="75">
        <f t="shared" si="0"/>
      </c>
      <c r="P12" s="80">
        <f t="shared" si="1"/>
      </c>
      <c r="Q12" s="85">
        <f t="shared" si="8"/>
      </c>
      <c r="R12" s="85">
        <f t="shared" si="9"/>
      </c>
      <c r="S12" s="76">
        <f>IF($B12="","",(IF((date_réforme-$B12)&gt;(an*2),(date_réforme)+(an*4)-Z12,(date_réforme)+(an*4)-Z12)))</f>
      </c>
      <c r="T12" s="77">
        <f aca="true" t="shared" si="13" ref="T12:T31">IF($M12="","",M12+1)</f>
      </c>
      <c r="U12" s="78">
        <f>IF($B12="","",(IF(T12=13,"515",(IF(T12=12,"491",(IF(T12=11,"468",(IF(T12=10,"445",(IF(T12=9,"425",(IF(T12=8,"405",(IF(T12=7,"390","ano")))))))))))))))</f>
      </c>
      <c r="V12" s="79">
        <f t="shared" si="2"/>
      </c>
      <c r="W12" s="81">
        <f t="shared" si="10"/>
      </c>
      <c r="X12" s="1">
        <f>IF($B12="","",(IF((date_réforme-$B12)&gt;(an*2),(date_réforme-B12-(an*2)),((date_réforme-B12)+(an*2)))))</f>
      </c>
      <c r="Y12" s="5">
        <f t="shared" si="3"/>
        <v>0</v>
      </c>
      <c r="Z12" s="5">
        <f t="shared" si="11"/>
        <v>0</v>
      </c>
    </row>
    <row r="13" spans="1:26" s="1" customFormat="1" ht="30" customHeight="1">
      <c r="A13" s="62" t="s">
        <v>4</v>
      </c>
      <c r="B13" s="63"/>
      <c r="C13" s="57"/>
      <c r="D13" s="68"/>
      <c r="E13" s="82">
        <v>6</v>
      </c>
      <c r="F13" s="78">
        <v>443</v>
      </c>
      <c r="G13" s="79">
        <f t="shared" si="4"/>
        <v>2041.0154416666667</v>
      </c>
      <c r="H13" s="83">
        <f t="shared" si="5"/>
        <v>2512.697990398325</v>
      </c>
      <c r="I13" s="88">
        <f t="shared" si="6"/>
        <v>-471.68254873165847</v>
      </c>
      <c r="J13" s="87">
        <f>IF($B13="","",(IF((date_réforme-$B13)&gt;((an*1.5)+1),"1,5 an dans échelon","pas 1,5 an dans échelon")))</f>
      </c>
      <c r="K13" s="89">
        <f>IF($B13="","",(IF((date_réforme-$B13)&gt;((an*1.5)+1),"4/3 de l'anc. acquise au-delà de 1,5 an","4/3 de l'anc. acquise + 1 an")))</f>
      </c>
      <c r="L13" s="90">
        <f t="shared" si="12"/>
      </c>
      <c r="M13" s="74">
        <f>IF($B13="","",(IF((date_réforme-$B13)&gt;((an*1.5)+1),"11","10")))</f>
      </c>
      <c r="N13" s="74">
        <f>IF($B13="","",(IF(M13="13","515",(IF(M13="12","491",(IF(M13="11","468",(IF(M13="10","445","ano")))))))))</f>
      </c>
      <c r="O13" s="75">
        <f t="shared" si="0"/>
      </c>
      <c r="P13" s="80">
        <f t="shared" si="1"/>
      </c>
      <c r="Q13" s="85">
        <f t="shared" si="8"/>
      </c>
      <c r="R13" s="85">
        <f t="shared" si="9"/>
      </c>
      <c r="S13" s="76">
        <f>IF($B13="","",(IF((date_réforme-$B13)&gt;((an*1.5)+1),(date_réforme)+(an*4)-Z13,(date_réforme)+(an*3)-Z13)))</f>
      </c>
      <c r="T13" s="77">
        <f t="shared" si="13"/>
      </c>
      <c r="U13" s="78">
        <f aca="true" t="shared" si="14" ref="U13:U18">IF($B13="","",(IF(T13=13,"515",(IF(T13=12,"491",(IF(T13=11,"468",(IF(T13=10,"445",(IF(T13=9,"425",(IF(T13=8,"405",(IF(T13=7,"390","ano")))))))))))))))</f>
      </c>
      <c r="V13" s="79">
        <f t="shared" si="2"/>
      </c>
      <c r="W13" s="81">
        <f t="shared" si="10"/>
      </c>
      <c r="X13" s="1">
        <f>IF($B13="","",(IF((date_réforme-$B13)&gt;((an*1.5)+1),(((date_réforme-B13-(an*1.5))*4/3)),(((date_réforme-B13)*4/3)+an))))</f>
      </c>
      <c r="Y13" s="5">
        <f t="shared" si="3"/>
        <v>0</v>
      </c>
      <c r="Z13" s="5">
        <f t="shared" si="11"/>
        <v>0</v>
      </c>
    </row>
    <row r="14" spans="1:26" s="1" customFormat="1" ht="30" customHeight="1">
      <c r="A14" s="62" t="s">
        <v>4</v>
      </c>
      <c r="B14" s="63"/>
      <c r="C14" s="57"/>
      <c r="D14" s="68"/>
      <c r="E14" s="82">
        <v>5</v>
      </c>
      <c r="F14" s="78">
        <v>420</v>
      </c>
      <c r="G14" s="79">
        <f t="shared" si="4"/>
        <v>1935.0484999999999</v>
      </c>
      <c r="H14" s="83">
        <f t="shared" si="5"/>
        <v>2382.24188705936</v>
      </c>
      <c r="I14" s="88">
        <f t="shared" si="6"/>
        <v>-447.19338705936025</v>
      </c>
      <c r="J14" s="87">
        <f>IF($B14="","",(IF((date_réforme-$B14)&gt;(an*2),"2 ans dans échelon","pas 2 ans dans échelon")))</f>
      </c>
      <c r="K14" s="89">
        <f>IF($B14="","",(IF((date_réforme-$B14)&gt;(an*2),"anc. acquise au-delà de 2 ans","anc. acquise + 1 an")))</f>
      </c>
      <c r="L14" s="90">
        <f t="shared" si="12"/>
      </c>
      <c r="M14" s="74">
        <f>IF($B14="","",(IF((date_réforme-$B14)&gt;(an*2),"10","9")))</f>
      </c>
      <c r="N14" s="74">
        <f>IF($B14="","",(IF(M14="10","445",(IF(M14="9","425",(IF(M14="8","405",(IF(M14="7","390","ano")))))))))</f>
      </c>
      <c r="O14" s="75">
        <f t="shared" si="0"/>
      </c>
      <c r="P14" s="80">
        <f t="shared" si="1"/>
      </c>
      <c r="Q14" s="85">
        <f t="shared" si="8"/>
      </c>
      <c r="R14" s="85">
        <f t="shared" si="9"/>
      </c>
      <c r="S14" s="76">
        <f>IF($B14="","",(IF((date_réforme-$B14)&gt;(an*2),(date_réforme)+(an*3)-Z14,(date_réforme)+(an*3)-Z14)))</f>
      </c>
      <c r="T14" s="77">
        <f t="shared" si="13"/>
      </c>
      <c r="U14" s="78">
        <f t="shared" si="14"/>
      </c>
      <c r="V14" s="79">
        <f t="shared" si="2"/>
      </c>
      <c r="W14" s="81">
        <f t="shared" si="10"/>
      </c>
      <c r="X14" s="1">
        <f>IF($B14="","",(IF((date_réforme-$B14)&gt;(an*2),(date_réforme-B14-(an*2)),((date_réforme-B14)+an))))</f>
      </c>
      <c r="Y14" s="5">
        <f t="shared" si="3"/>
        <v>0</v>
      </c>
      <c r="Z14" s="5">
        <f t="shared" si="11"/>
        <v>0</v>
      </c>
    </row>
    <row r="15" spans="1:26" s="1" customFormat="1" ht="30" customHeight="1">
      <c r="A15" s="62" t="s">
        <v>4</v>
      </c>
      <c r="B15" s="63"/>
      <c r="C15" s="57"/>
      <c r="D15" s="68"/>
      <c r="E15" s="82">
        <v>4</v>
      </c>
      <c r="F15" s="78">
        <v>405</v>
      </c>
      <c r="G15" s="79">
        <f t="shared" si="4"/>
        <v>1865.939625</v>
      </c>
      <c r="H15" s="83">
        <f t="shared" si="5"/>
        <v>2297.161819664383</v>
      </c>
      <c r="I15" s="88">
        <f t="shared" si="6"/>
        <v>-431.2221946643831</v>
      </c>
      <c r="J15" s="87">
        <f>IF($B15="","",(IF((date_réforme-$B15)&gt;((an*1.5)+1),"1,5 an dans échelon","pas 1,5 an dans échelon")))</f>
      </c>
      <c r="K15" s="89">
        <f>IF($B15="","",(IF((date_réforme-$B15)&gt;((an*1.5)+1),"anc. acquise au-delà de 1,5 an","4/3 de l'anc. acquise + 1 an")))</f>
      </c>
      <c r="L15" s="90">
        <f t="shared" si="12"/>
      </c>
      <c r="M15" s="74">
        <f>IF($B15="","",(IF((date_réforme-$B15)&gt;((an*1.5)+1),"9","8")))</f>
      </c>
      <c r="N15" s="74">
        <f>IF($B15="","",(IF(M15="10","445",(IF(M15="9","425",(IF(M15="8","405",(IF(M15="7","390","ano")))))))))</f>
      </c>
      <c r="O15" s="75">
        <f t="shared" si="0"/>
      </c>
      <c r="P15" s="80">
        <f t="shared" si="1"/>
      </c>
      <c r="Q15" s="85">
        <f t="shared" si="8"/>
      </c>
      <c r="R15" s="85">
        <f t="shared" si="9"/>
      </c>
      <c r="S15" s="76">
        <f>IF($B15="","",(IF((date_réforme-$B15)&gt;((an*1.5)+1),(date_réforme)+(an*3)-Z15,(date_réforme)+(an*3)-Z15)))</f>
      </c>
      <c r="T15" s="77">
        <f t="shared" si="13"/>
      </c>
      <c r="U15" s="78">
        <f t="shared" si="14"/>
      </c>
      <c r="V15" s="79">
        <f t="shared" si="2"/>
      </c>
      <c r="W15" s="81">
        <f t="shared" si="10"/>
      </c>
      <c r="X15" s="1">
        <f>IF($B15="","",(IF((date_réforme-$B15)&gt;((an*1.5)+1),(date_réforme-B15-(an*1.5)),(((date_réforme-B15)*4/3)+an))))</f>
      </c>
      <c r="Y15" s="5">
        <f t="shared" si="3"/>
        <v>0</v>
      </c>
      <c r="Z15" s="5">
        <f t="shared" si="11"/>
        <v>0</v>
      </c>
    </row>
    <row r="16" spans="1:26" s="1" customFormat="1" ht="30" customHeight="1">
      <c r="A16" s="62" t="s">
        <v>4</v>
      </c>
      <c r="B16" s="63"/>
      <c r="C16" s="57"/>
      <c r="D16" s="68"/>
      <c r="E16" s="82">
        <v>3</v>
      </c>
      <c r="F16" s="78">
        <v>384</v>
      </c>
      <c r="G16" s="79">
        <f t="shared" si="4"/>
        <v>1769.1871999999998</v>
      </c>
      <c r="H16" s="83">
        <f t="shared" si="5"/>
        <v>2178.0497253114154</v>
      </c>
      <c r="I16" s="88">
        <f t="shared" si="6"/>
        <v>-408.86252531141554</v>
      </c>
      <c r="J16" s="87">
        <f>IF($B16="","",(IF((date_réforme-$B16)&gt;(an-1),"1 an dans échelon","pas 1 an dans échelon")))</f>
      </c>
      <c r="K16" s="89">
        <f>IF($B16="","",(IF((date_réforme-$B16)&gt;(an-1),"anc. acquise au-delà de 1 an","2 fois anc. acquise + 1 an")))</f>
      </c>
      <c r="L16" s="90">
        <f t="shared" si="12"/>
      </c>
      <c r="M16" s="74">
        <f>IF($B16="","",(IF((date_réforme-$B16)&gt;(an-1),"8","7")))</f>
      </c>
      <c r="N16" s="74">
        <f>IF($B16="","",(IF(M16="10","445",(IF(M16="9","425",(IF(M16="8","405",(IF(M16="7","390","ano")))))))))</f>
      </c>
      <c r="O16" s="75">
        <f t="shared" si="0"/>
      </c>
      <c r="P16" s="80">
        <f t="shared" si="1"/>
      </c>
      <c r="Q16" s="85">
        <f t="shared" si="8"/>
      </c>
      <c r="R16" s="85">
        <f t="shared" si="9"/>
      </c>
      <c r="S16" s="76">
        <f>IF($B16="","",(IF((date_réforme-$B16)&gt;(an-1),(date_réforme)+(an*3)-Z16,(date_réforme)+(an*3)-Z16)))</f>
      </c>
      <c r="T16" s="77">
        <f t="shared" si="13"/>
      </c>
      <c r="U16" s="78">
        <f t="shared" si="14"/>
      </c>
      <c r="V16" s="79">
        <f t="shared" si="2"/>
      </c>
      <c r="W16" s="81">
        <f t="shared" si="10"/>
      </c>
      <c r="X16" s="1">
        <f>IF($B16="","",(IF((date_réforme-$B16)&gt;(an-1),(date_réforme-B16-(an)),(((date_réforme-B16)*2)+an))))</f>
      </c>
      <c r="Y16" s="5">
        <f t="shared" si="3"/>
        <v>0</v>
      </c>
      <c r="Z16" s="5">
        <f t="shared" si="11"/>
        <v>0</v>
      </c>
    </row>
    <row r="17" spans="1:26" s="1" customFormat="1" ht="30" customHeight="1">
      <c r="A17" s="62" t="s">
        <v>4</v>
      </c>
      <c r="B17" s="63"/>
      <c r="C17" s="57"/>
      <c r="D17" s="68"/>
      <c r="E17" s="82">
        <v>2</v>
      </c>
      <c r="F17" s="78">
        <v>370</v>
      </c>
      <c r="G17" s="79">
        <f t="shared" si="4"/>
        <v>1704.6855833333334</v>
      </c>
      <c r="H17" s="83">
        <f t="shared" si="5"/>
        <v>2098.6416624094363</v>
      </c>
      <c r="I17" s="88">
        <f t="shared" si="6"/>
        <v>-393.9560790761029</v>
      </c>
      <c r="J17" s="87">
        <f>IF($B17="","",(IF((date_réforme-$B17)&gt;(an-1),"1 an dans échelon","pas 1 an dans échelon")))</f>
      </c>
      <c r="K17" s="89">
        <f>IF($B17="","",(IF((date_réforme-$B17)&gt;(an-1),"anc. acquise au-delà de 1 an","3/2 de l'anc. acquise + 1,5 an")))</f>
      </c>
      <c r="L17" s="90">
        <f t="shared" si="12"/>
      </c>
      <c r="M17" s="74">
        <f>IF($B17="","",(IF((date_réforme-$B17)&gt;(an-1),"7","6")))</f>
      </c>
      <c r="N17" s="74">
        <f>IF($B17="","",(IF(M17="7","390",(IF(M17="6","375","ano")))))</f>
      </c>
      <c r="O17" s="75">
        <f t="shared" si="0"/>
      </c>
      <c r="P17" s="80">
        <f t="shared" si="1"/>
      </c>
      <c r="Q17" s="85">
        <f t="shared" si="8"/>
      </c>
      <c r="R17" s="85">
        <f t="shared" si="9"/>
      </c>
      <c r="S17" s="76">
        <f>IF($B17="","",(IF((date_réforme-$B17)&gt;(an-1),(date_réforme)+(an*3)-Z17,(date_réforme)+(an*3)-Z17)))</f>
      </c>
      <c r="T17" s="77">
        <f t="shared" si="13"/>
      </c>
      <c r="U17" s="78">
        <f t="shared" si="14"/>
      </c>
      <c r="V17" s="79">
        <f t="shared" si="2"/>
      </c>
      <c r="W17" s="81">
        <f t="shared" si="10"/>
      </c>
      <c r="X17" s="1">
        <f>IF($B17="","",(IF((date_réforme-$B17)&gt;(an-1),(date_réforme-B17-an),(((date_réforme-B17)*3/2)+(an*1.5)))))</f>
      </c>
      <c r="Y17" s="5">
        <f t="shared" si="3"/>
        <v>0</v>
      </c>
      <c r="Z17" s="5">
        <f t="shared" si="11"/>
        <v>0</v>
      </c>
    </row>
    <row r="18" spans="1:26" s="1" customFormat="1" ht="30" customHeight="1" thickBot="1">
      <c r="A18" s="110" t="s">
        <v>4</v>
      </c>
      <c r="B18" s="111"/>
      <c r="C18" s="69"/>
      <c r="D18" s="70"/>
      <c r="E18" s="112">
        <v>1</v>
      </c>
      <c r="F18" s="113">
        <v>362</v>
      </c>
      <c r="G18" s="114">
        <f t="shared" si="4"/>
        <v>1667.8275166666667</v>
      </c>
      <c r="H18" s="115">
        <f t="shared" si="5"/>
        <v>2053.265626465449</v>
      </c>
      <c r="I18" s="116">
        <f t="shared" si="6"/>
        <v>-385.4381097987821</v>
      </c>
      <c r="J18" s="117"/>
      <c r="K18" s="118">
        <f>IF($B18="","","anc. acquise")</f>
      </c>
      <c r="L18" s="119">
        <f t="shared" si="12"/>
      </c>
      <c r="M18" s="120">
        <f>IF($B18="","","6")</f>
      </c>
      <c r="N18" s="120">
        <f>IF($B18="","",(IF(M18="7","390",(IF(M18="6","375","ano")))))</f>
      </c>
      <c r="O18" s="121">
        <f t="shared" si="0"/>
      </c>
      <c r="P18" s="122">
        <f t="shared" si="1"/>
      </c>
      <c r="Q18" s="123">
        <f t="shared" si="8"/>
      </c>
      <c r="R18" s="123">
        <f t="shared" si="9"/>
      </c>
      <c r="S18" s="124">
        <f>IF($B18="","",((date_réforme)+(an*3)-Z18))</f>
      </c>
      <c r="T18" s="125">
        <f t="shared" si="13"/>
      </c>
      <c r="U18" s="113">
        <f t="shared" si="14"/>
      </c>
      <c r="V18" s="114">
        <f t="shared" si="2"/>
      </c>
      <c r="W18" s="126">
        <f t="shared" si="10"/>
      </c>
      <c r="X18" s="141">
        <f>IF($B18="","",(date_réforme-B18))</f>
      </c>
      <c r="Y18" s="5">
        <f t="shared" si="3"/>
        <v>0</v>
      </c>
      <c r="Z18" s="5">
        <f t="shared" si="11"/>
        <v>0</v>
      </c>
    </row>
    <row r="19" spans="1:26" s="1" customFormat="1" ht="30" customHeight="1" thickBot="1" thickTop="1">
      <c r="A19" s="93" t="s">
        <v>5</v>
      </c>
      <c r="B19" s="65"/>
      <c r="C19" s="71"/>
      <c r="D19" s="72"/>
      <c r="E19" s="96">
        <v>13</v>
      </c>
      <c r="F19" s="96">
        <v>463</v>
      </c>
      <c r="G19" s="97">
        <f t="shared" si="4"/>
        <v>2133.160608333333</v>
      </c>
      <c r="H19" s="98">
        <f t="shared" si="5"/>
        <v>2626.138080258295</v>
      </c>
      <c r="I19" s="99">
        <f t="shared" si="6"/>
        <v>-492.9774719249617</v>
      </c>
      <c r="J19" s="100">
        <f>IF($B19="","",(IF((date_réforme-$B19)&gt;(an*4),"4 ans dans échelon","pas 4 ans dans échelon")))</f>
      </c>
      <c r="K19" s="101">
        <f>IF($B19="","",(IF((date_réforme-$B19)&gt;((an*4)),"reclassement au-delà","anc. acquise")))</f>
      </c>
      <c r="L19" s="102">
        <f>IF(B19="","","1er")</f>
      </c>
      <c r="M19" s="103">
        <f>IF($B19="","",(IF((date_réforme-$B19)&gt;(an*4),"13","12")))</f>
      </c>
      <c r="N19" s="103">
        <f>IF($B19="","",(IF(M19="13","486",(IF(M19="12","466",(IF(M19="11","443",(IF(M19="10","420","ano")))))))))</f>
      </c>
      <c r="O19" s="104">
        <f t="shared" si="0"/>
      </c>
      <c r="P19" s="105">
        <f t="shared" si="1"/>
      </c>
      <c r="Q19" s="106">
        <f t="shared" si="8"/>
      </c>
      <c r="R19" s="106">
        <f t="shared" si="9"/>
      </c>
      <c r="S19" s="143">
        <f>IF($B19="","",(IF((date_réforme-$B19)&gt;(an*2),"sommet",(date_réforme)+(an*4)-Z19)))</f>
      </c>
      <c r="T19" s="108">
        <f>IF($M19="","",IF($M19="13",13,M19+1))</f>
      </c>
      <c r="U19" s="142">
        <f>IF($B19="","",(IF(T19=13,"486",(IF(T19=12,"466",(IF(T19=11,"443",(IF(T19=10,"420",(IF(T19=9,"400",(IF(T19=8,"384",(IF(T19=7,"371","ano")))))))))))))))</f>
      </c>
      <c r="V19" s="97">
        <f t="shared" si="2"/>
      </c>
      <c r="W19" s="109">
        <f t="shared" si="10"/>
      </c>
      <c r="X19" s="1">
        <f>IF($B19="","",(IF((date_réforme-$B19)&gt;(an*4),"0",(date_réforme-B19))))</f>
      </c>
      <c r="Y19" s="5">
        <f t="shared" si="3"/>
        <v>0</v>
      </c>
      <c r="Z19" s="5">
        <f t="shared" si="11"/>
        <v>0</v>
      </c>
    </row>
    <row r="20" spans="1:26" s="1" customFormat="1" ht="30" customHeight="1" thickTop="1">
      <c r="A20" s="62" t="s">
        <v>5</v>
      </c>
      <c r="B20" s="63"/>
      <c r="C20" s="66"/>
      <c r="D20" s="67"/>
      <c r="E20" s="82">
        <v>12</v>
      </c>
      <c r="F20" s="78">
        <v>439</v>
      </c>
      <c r="G20" s="79">
        <f t="shared" si="4"/>
        <v>2022.5864083333333</v>
      </c>
      <c r="H20" s="83">
        <f t="shared" si="5"/>
        <v>2490.0099724263314</v>
      </c>
      <c r="I20" s="88">
        <f t="shared" si="6"/>
        <v>-467.42356409299805</v>
      </c>
      <c r="J20" s="87"/>
      <c r="K20" s="89">
        <f>IF($B20="","","anc. acquise")</f>
      </c>
      <c r="L20" s="90">
        <f aca="true" t="shared" si="15" ref="L20:L31">IF(B20="","","1er")</f>
      </c>
      <c r="M20" s="74">
        <f>IF($B20="","","11")</f>
      </c>
      <c r="N20" s="74">
        <f>IF($B20="","",(IF(M20="13","486",(IF(M20="12","466",(IF(M20="11","443",(IF(M20="10","420","ano")))))))))</f>
      </c>
      <c r="O20" s="75">
        <f t="shared" si="0"/>
      </c>
      <c r="P20" s="80">
        <f t="shared" si="1"/>
      </c>
      <c r="Q20" s="85">
        <f t="shared" si="8"/>
      </c>
      <c r="R20" s="85">
        <f t="shared" si="9"/>
      </c>
      <c r="S20" s="76">
        <f>IF($B20="","",((date_réforme)+(an*4)-Z20))</f>
      </c>
      <c r="T20" s="77">
        <f t="shared" si="13"/>
      </c>
      <c r="U20" s="78">
        <f>IF($B20="","",(IF(T20=13,"486",(IF(T20=12,"466",(IF(T20=11,"443",(IF(T20=10,"420",(IF(T20=9,"400",(IF(T20=8,"384",(IF(T20=7,"371","ano")))))))))))))))</f>
      </c>
      <c r="V20" s="79">
        <f t="shared" si="2"/>
      </c>
      <c r="W20" s="81">
        <f t="shared" si="10"/>
      </c>
      <c r="X20" s="89">
        <f>IF($B20="","",(date_réforme-B20))</f>
      </c>
      <c r="Y20" s="5">
        <f t="shared" si="3"/>
        <v>0</v>
      </c>
      <c r="Z20" s="5">
        <f t="shared" si="11"/>
        <v>0</v>
      </c>
    </row>
    <row r="21" spans="1:26" s="1" customFormat="1" ht="30" customHeight="1">
      <c r="A21" s="62" t="s">
        <v>5</v>
      </c>
      <c r="B21" s="63"/>
      <c r="C21" s="57"/>
      <c r="D21" s="68"/>
      <c r="E21" s="82">
        <v>11</v>
      </c>
      <c r="F21" s="78">
        <v>418</v>
      </c>
      <c r="G21" s="79">
        <f t="shared" si="4"/>
        <v>1925.8339833333332</v>
      </c>
      <c r="H21" s="83">
        <f t="shared" si="5"/>
        <v>2370.8978780733632</v>
      </c>
      <c r="I21" s="88">
        <f t="shared" si="6"/>
        <v>-445.06389474003004</v>
      </c>
      <c r="J21" s="87"/>
      <c r="K21" s="89">
        <f>IF($B21="","","anc. acquise")</f>
      </c>
      <c r="L21" s="90">
        <f t="shared" si="15"/>
      </c>
      <c r="M21" s="74">
        <f>IF($B21="","","10")</f>
      </c>
      <c r="N21" s="74">
        <f>IF($B21="","",(IF(M21="13","486",(IF(M21="12","466",(IF(M21="11","443",(IF(M21="10","420","ano")))))))))</f>
      </c>
      <c r="O21" s="75">
        <f t="shared" si="0"/>
      </c>
      <c r="P21" s="80">
        <f t="shared" si="1"/>
      </c>
      <c r="Q21" s="85">
        <f t="shared" si="8"/>
      </c>
      <c r="R21" s="85">
        <f t="shared" si="9"/>
      </c>
      <c r="S21" s="76">
        <f>IF($B21="","",((date_réforme)+(an*3)-Z21))</f>
      </c>
      <c r="T21" s="77">
        <f t="shared" si="13"/>
      </c>
      <c r="U21" s="78">
        <f aca="true" t="shared" si="16" ref="U21:U26">IF($B21="","",(IF(T21=13,"486",(IF(T21=12,"466",(IF(T21=11,"443",(IF(T21=10,"420",(IF(T21=9,"400",(IF(T21=8,"384",(IF(T21=7,"371","ano")))))))))))))))</f>
      </c>
      <c r="V21" s="79">
        <f t="shared" si="2"/>
      </c>
      <c r="W21" s="81">
        <f t="shared" si="10"/>
      </c>
      <c r="X21" s="89">
        <f>IF($B21="","",(date_réforme-B21))</f>
      </c>
      <c r="Y21" s="5">
        <f t="shared" si="3"/>
        <v>0</v>
      </c>
      <c r="Z21" s="5">
        <f t="shared" si="11"/>
        <v>0</v>
      </c>
    </row>
    <row r="22" spans="1:26" s="1" customFormat="1" ht="30" customHeight="1">
      <c r="A22" s="62" t="s">
        <v>5</v>
      </c>
      <c r="B22" s="63"/>
      <c r="C22" s="57"/>
      <c r="D22" s="68"/>
      <c r="E22" s="82">
        <v>10</v>
      </c>
      <c r="F22" s="78">
        <v>395</v>
      </c>
      <c r="G22" s="79">
        <f t="shared" si="4"/>
        <v>1819.8670416666666</v>
      </c>
      <c r="H22" s="83">
        <f t="shared" si="5"/>
        <v>2240.441774734398</v>
      </c>
      <c r="I22" s="88">
        <f t="shared" si="6"/>
        <v>-420.5747330677316</v>
      </c>
      <c r="J22" s="87"/>
      <c r="K22" s="89">
        <f>IF($B22="","","anc. acquise")</f>
      </c>
      <c r="L22" s="90">
        <f t="shared" si="15"/>
      </c>
      <c r="M22" s="74">
        <f>IF($B22="","","9")</f>
      </c>
      <c r="N22" s="74">
        <f>IF($B22="","",(IF(M22="9","400",(IF(M22="8","384",(IF(M22="7","371",(IF(M22="10","420","ano")))))))))</f>
      </c>
      <c r="O22" s="75">
        <f t="shared" si="0"/>
      </c>
      <c r="P22" s="80">
        <f t="shared" si="1"/>
      </c>
      <c r="Q22" s="85">
        <f t="shared" si="8"/>
      </c>
      <c r="R22" s="85">
        <f t="shared" si="9"/>
      </c>
      <c r="S22" s="76">
        <f>IF($B22="","",((date_réforme)+(an*3)-Z22))</f>
      </c>
      <c r="T22" s="77">
        <f t="shared" si="13"/>
      </c>
      <c r="U22" s="78">
        <f t="shared" si="16"/>
      </c>
      <c r="V22" s="79">
        <f t="shared" si="2"/>
      </c>
      <c r="W22" s="81">
        <f t="shared" si="10"/>
      </c>
      <c r="X22" s="89">
        <f>IF($B22="","",(date_réforme-B22))</f>
      </c>
      <c r="Y22" s="5">
        <f t="shared" si="3"/>
        <v>0</v>
      </c>
      <c r="Z22" s="5">
        <f t="shared" si="11"/>
        <v>0</v>
      </c>
    </row>
    <row r="23" spans="1:26" s="1" customFormat="1" ht="30" customHeight="1">
      <c r="A23" s="62" t="s">
        <v>5</v>
      </c>
      <c r="B23" s="63"/>
      <c r="C23" s="57"/>
      <c r="D23" s="68"/>
      <c r="E23" s="82">
        <v>9</v>
      </c>
      <c r="F23" s="78">
        <v>384</v>
      </c>
      <c r="G23" s="79">
        <f t="shared" si="4"/>
        <v>1769.1871999999998</v>
      </c>
      <c r="H23" s="83">
        <f t="shared" si="5"/>
        <v>2178.0497253114154</v>
      </c>
      <c r="I23" s="88">
        <f t="shared" si="6"/>
        <v>-408.86252531141554</v>
      </c>
      <c r="J23" s="87"/>
      <c r="K23" s="89">
        <f>IF($B23="","","anc. acquise")</f>
      </c>
      <c r="L23" s="90">
        <f t="shared" si="15"/>
      </c>
      <c r="M23" s="74">
        <f>IF($B23="","","8")</f>
      </c>
      <c r="N23" s="74">
        <f>IF($B23="","",(IF(M23="9","400",(IF(M23="8","384",(IF(M23="7","371",(IF(M23="10","420","ano")))))))))</f>
      </c>
      <c r="O23" s="75">
        <f t="shared" si="0"/>
      </c>
      <c r="P23" s="80">
        <f t="shared" si="1"/>
      </c>
      <c r="Q23" s="85">
        <f t="shared" si="8"/>
      </c>
      <c r="R23" s="85">
        <f t="shared" si="9"/>
      </c>
      <c r="S23" s="76">
        <f>IF($B23="","",((date_réforme)+(an*3)-Z23))</f>
      </c>
      <c r="T23" s="77">
        <f t="shared" si="13"/>
      </c>
      <c r="U23" s="78">
        <f t="shared" si="16"/>
      </c>
      <c r="V23" s="79">
        <f t="shared" si="2"/>
      </c>
      <c r="W23" s="81">
        <f t="shared" si="10"/>
      </c>
      <c r="X23" s="89">
        <f>IF($B23="","",(date_réforme-B23))</f>
      </c>
      <c r="Y23" s="5">
        <f t="shared" si="3"/>
        <v>0</v>
      </c>
      <c r="Z23" s="5">
        <f t="shared" si="11"/>
        <v>0</v>
      </c>
    </row>
    <row r="24" spans="1:26" s="1" customFormat="1" ht="30" customHeight="1">
      <c r="A24" s="62" t="s">
        <v>5</v>
      </c>
      <c r="B24" s="63"/>
      <c r="C24" s="57"/>
      <c r="D24" s="68"/>
      <c r="E24" s="82">
        <v>8</v>
      </c>
      <c r="F24" s="78">
        <v>370</v>
      </c>
      <c r="G24" s="79">
        <f t="shared" si="4"/>
        <v>1704.6855833333334</v>
      </c>
      <c r="H24" s="83">
        <f t="shared" si="5"/>
        <v>2098.6416624094363</v>
      </c>
      <c r="I24" s="88">
        <f t="shared" si="6"/>
        <v>-393.9560790761029</v>
      </c>
      <c r="J24" s="87"/>
      <c r="K24" s="89">
        <f>IF($B24="","","anc. acquise")</f>
      </c>
      <c r="L24" s="90">
        <f t="shared" si="15"/>
      </c>
      <c r="M24" s="74">
        <f>IF($B24="","","7")</f>
      </c>
      <c r="N24" s="74">
        <f>IF($B24="","",(IF(M24="9","400",(IF(M24="8","384",(IF(M24="7","371",(IF(M24="10","420","ano")))))))))</f>
      </c>
      <c r="O24" s="75">
        <f t="shared" si="0"/>
      </c>
      <c r="P24" s="80">
        <f t="shared" si="1"/>
      </c>
      <c r="Q24" s="85">
        <f t="shared" si="8"/>
      </c>
      <c r="R24" s="85">
        <f t="shared" si="9"/>
      </c>
      <c r="S24" s="76">
        <f>IF($B24="","",((date_réforme)+(an*3)-Z24))</f>
      </c>
      <c r="T24" s="77">
        <f t="shared" si="13"/>
      </c>
      <c r="U24" s="78">
        <f t="shared" si="16"/>
      </c>
      <c r="V24" s="79">
        <f t="shared" si="2"/>
      </c>
      <c r="W24" s="81">
        <f t="shared" si="10"/>
      </c>
      <c r="X24" s="89">
        <f>IF($B24="","",(date_réforme-B24))</f>
      </c>
      <c r="Y24" s="5">
        <f t="shared" si="3"/>
        <v>0</v>
      </c>
      <c r="Z24" s="5">
        <f t="shared" si="11"/>
        <v>0</v>
      </c>
    </row>
    <row r="25" spans="1:26" s="1" customFormat="1" ht="30" customHeight="1">
      <c r="A25" s="62" t="s">
        <v>5</v>
      </c>
      <c r="B25" s="63"/>
      <c r="C25" s="57"/>
      <c r="D25" s="68"/>
      <c r="E25" s="82">
        <v>7</v>
      </c>
      <c r="F25" s="78">
        <v>362</v>
      </c>
      <c r="G25" s="79">
        <f t="shared" si="4"/>
        <v>1667.8275166666667</v>
      </c>
      <c r="H25" s="83">
        <f t="shared" si="5"/>
        <v>2053.265626465449</v>
      </c>
      <c r="I25" s="88">
        <f t="shared" si="6"/>
        <v>-385.4381097987821</v>
      </c>
      <c r="J25" s="87"/>
      <c r="K25" s="89">
        <f>IF($B25="","","l'anc. n'est pas acquise")</f>
      </c>
      <c r="L25" s="90">
        <f t="shared" si="15"/>
      </c>
      <c r="M25" s="74">
        <f>IF($B25="","","7")</f>
      </c>
      <c r="N25" s="74">
        <f>IF($B25="","",(IF(M25="9","400",(IF(M25="8","384",(IF(M25="7","371",(IF(M25="10","420","ano")))))))))</f>
      </c>
      <c r="O25" s="75">
        <f t="shared" si="0"/>
      </c>
      <c r="P25" s="80">
        <f t="shared" si="1"/>
      </c>
      <c r="Q25" s="85">
        <f t="shared" si="8"/>
      </c>
      <c r="R25" s="85">
        <f t="shared" si="9"/>
      </c>
      <c r="S25" s="76">
        <f>IF($B25="","",((date_réforme)+(an*3)-Z25))</f>
      </c>
      <c r="T25" s="77">
        <f t="shared" si="13"/>
      </c>
      <c r="U25" s="78">
        <f t="shared" si="16"/>
      </c>
      <c r="V25" s="79">
        <f t="shared" si="2"/>
      </c>
      <c r="W25" s="81">
        <f t="shared" si="10"/>
      </c>
      <c r="X25" s="89"/>
      <c r="Y25" s="5">
        <f aca="true" t="shared" si="17" ref="Y25:Y31">(C25*(an/12))+D25</f>
        <v>0</v>
      </c>
      <c r="Z25" s="5">
        <f t="shared" si="11"/>
        <v>0</v>
      </c>
    </row>
    <row r="26" spans="1:26" s="1" customFormat="1" ht="30" customHeight="1">
      <c r="A26" s="62" t="s">
        <v>5</v>
      </c>
      <c r="B26" s="63"/>
      <c r="C26" s="57"/>
      <c r="D26" s="68"/>
      <c r="E26" s="82">
        <v>6</v>
      </c>
      <c r="F26" s="78">
        <v>352</v>
      </c>
      <c r="G26" s="79">
        <f t="shared" si="4"/>
        <v>1621.7549333333334</v>
      </c>
      <c r="H26" s="83">
        <f t="shared" si="5"/>
        <v>1996.545581535464</v>
      </c>
      <c r="I26" s="88">
        <f t="shared" si="6"/>
        <v>-374.79064820213057</v>
      </c>
      <c r="J26" s="87">
        <f>IF($B26="","",(IF((date_réforme-$B26)&gt;(an/2)+1,"6 mois dans échelon","pas 6 mois dans échelon")))</f>
      </c>
      <c r="K26" s="89">
        <f>IF($B26="","",(IF((date_réforme-$B26)&gt;(an/2)+1,"4/3 de l'anc. acquise au-delà de 6 mois + 1 an","2 fois anc. acquise")))</f>
      </c>
      <c r="L26" s="90">
        <f t="shared" si="15"/>
      </c>
      <c r="M26" s="74">
        <f>IF($B26="","",(IF((date_réforme-$B26)&gt;(an/2)+1,"6","6")))</f>
      </c>
      <c r="N26" s="74">
        <f>IF($B26="","",(IF(M26="6","358",(IF(M26="5","345",(IF(M26="4","334",(IF(M26="3","325","ano")))))))))</f>
      </c>
      <c r="O26" s="75">
        <f t="shared" si="0"/>
      </c>
      <c r="P26" s="80">
        <f t="shared" si="1"/>
      </c>
      <c r="Q26" s="85">
        <f t="shared" si="8"/>
      </c>
      <c r="R26" s="85">
        <f t="shared" si="9"/>
      </c>
      <c r="S26" s="76">
        <f>IF($B26="","",(IF((date_réforme-$B26)&gt;(an/2)+1,(date_réforme)+(an*3)-Z26,(date_réforme)+(an*3)-Z26)))</f>
      </c>
      <c r="T26" s="77">
        <f t="shared" si="13"/>
      </c>
      <c r="U26" s="78">
        <f t="shared" si="16"/>
      </c>
      <c r="V26" s="79">
        <f t="shared" si="2"/>
      </c>
      <c r="W26" s="81">
        <f t="shared" si="10"/>
      </c>
      <c r="X26" s="1">
        <f>IF($B26="","",(IF((date_réforme-$B26)&gt;(an/2)+1,(((date_réforme-B26-(an/2))*4/3)+an),((date_réforme-B26)*2))))</f>
      </c>
      <c r="Y26" s="5">
        <f t="shared" si="17"/>
        <v>0</v>
      </c>
      <c r="Z26" s="5">
        <f t="shared" si="11"/>
        <v>0</v>
      </c>
    </row>
    <row r="27" spans="1:26" s="1" customFormat="1" ht="30" customHeight="1">
      <c r="A27" s="62" t="s">
        <v>5</v>
      </c>
      <c r="B27" s="63"/>
      <c r="C27" s="57"/>
      <c r="D27" s="68"/>
      <c r="E27" s="82">
        <v>5</v>
      </c>
      <c r="F27" s="78">
        <v>339</v>
      </c>
      <c r="G27" s="79">
        <f t="shared" si="4"/>
        <v>1561.860575</v>
      </c>
      <c r="H27" s="83">
        <f t="shared" si="5"/>
        <v>1922.8095231264838</v>
      </c>
      <c r="I27" s="88">
        <f t="shared" si="6"/>
        <v>-360.94894812648386</v>
      </c>
      <c r="J27" s="87"/>
      <c r="K27" s="89">
        <f>IF($B27="","","4/3 anc. acquise + 1 an")</f>
      </c>
      <c r="L27" s="90">
        <f t="shared" si="15"/>
      </c>
      <c r="M27" s="74">
        <f>IF($B27="","","5")</f>
      </c>
      <c r="N27" s="74">
        <f>IF($B27="","",(IF(M27="6","358",(IF(M27="5","345",(IF(M27="4","334",(IF(M27="3","325","ano")))))))))</f>
      </c>
      <c r="O27" s="75">
        <f t="shared" si="0"/>
      </c>
      <c r="P27" s="80">
        <f t="shared" si="1"/>
      </c>
      <c r="Q27" s="85">
        <f t="shared" si="8"/>
      </c>
      <c r="R27" s="85">
        <f t="shared" si="9"/>
      </c>
      <c r="S27" s="76">
        <f>IF($B27="","",((date_réforme)+(an*3)-Z27))</f>
      </c>
      <c r="T27" s="77">
        <f t="shared" si="13"/>
      </c>
      <c r="U27" s="78">
        <f>IF($B27="","",(IF(T27=7,"371",(IF(T27=6,"358",(IF(T27=5,"345",(IF(T27=4,"334",(IF(T27=3,"325",(IF(T27=2,"316",(IF(T27=1,"310","ano")))))))))))))))</f>
      </c>
      <c r="V27" s="79">
        <f t="shared" si="2"/>
      </c>
      <c r="W27" s="81">
        <f t="shared" si="10"/>
      </c>
      <c r="X27" s="1">
        <f>IF($B27="","",((date_réforme-B27)*4/3)+an)</f>
      </c>
      <c r="Y27" s="5">
        <f t="shared" si="17"/>
        <v>0</v>
      </c>
      <c r="Z27" s="5">
        <f t="shared" si="11"/>
        <v>0</v>
      </c>
    </row>
    <row r="28" spans="1:26" s="1" customFormat="1" ht="30" customHeight="1">
      <c r="A28" s="62" t="s">
        <v>5</v>
      </c>
      <c r="B28" s="63"/>
      <c r="C28" s="57"/>
      <c r="D28" s="68"/>
      <c r="E28" s="82">
        <v>4</v>
      </c>
      <c r="F28" s="78">
        <v>325</v>
      </c>
      <c r="G28" s="79">
        <f t="shared" si="4"/>
        <v>1497.3589583333332</v>
      </c>
      <c r="H28" s="83">
        <f t="shared" si="5"/>
        <v>1843.401460224505</v>
      </c>
      <c r="I28" s="88">
        <f t="shared" si="6"/>
        <v>-346.0425018911717</v>
      </c>
      <c r="J28" s="87">
        <f>IF($B28="","",(IF((date_réforme-$B28)&gt;(an-1),"1 an dans échelon","pas 1 an dans échelon")))</f>
      </c>
      <c r="K28" s="89">
        <f>IF($B28="","",(IF((date_réforme-$B28)&gt;(an-1),"2 fois anc. acquise au-delà de 1 an","3/2 de l'anc. acquise + 6 mois")))</f>
      </c>
      <c r="L28" s="90">
        <f t="shared" si="15"/>
      </c>
      <c r="M28" s="74">
        <f>IF($B28="","",(IF((date_réforme-$B28)&gt;(an-1),"5","4")))</f>
      </c>
      <c r="N28" s="74">
        <f>IF($B28="","",(IF(M28="6","358",(IF(M28="5","345",(IF(M28="4","334",(IF(M28="3","325","ano")))))))))</f>
      </c>
      <c r="O28" s="75">
        <f t="shared" si="0"/>
      </c>
      <c r="P28" s="80">
        <f t="shared" si="1"/>
      </c>
      <c r="Q28" s="85">
        <f t="shared" si="8"/>
      </c>
      <c r="R28" s="85">
        <f t="shared" si="9"/>
      </c>
      <c r="S28" s="76">
        <f>IF($B28="","",(IF((date_réforme-$B28)&gt;(an-1),(date_réforme)+(an*3)-Z28,(date_réforme)+(an*2)-Z28)))</f>
      </c>
      <c r="T28" s="77">
        <f t="shared" si="13"/>
      </c>
      <c r="U28" s="78">
        <f>IF($B28="","",(IF(T28=7,"371",(IF(T28=6,"358",(IF(T28=5,"345",(IF(T28=4,"334",(IF(T28=3,"325",(IF(T28=2,"316",(IF(T28=1,"310","ano")))))))))))))))</f>
      </c>
      <c r="V28" s="79">
        <f t="shared" si="2"/>
      </c>
      <c r="W28" s="81">
        <f t="shared" si="10"/>
      </c>
      <c r="X28" s="1">
        <f>IF($B28="","",(IF(date_réforme-(B28)&gt;(an-1),((date_réforme-B28-an)*2),((date_réforme-B28)*3/2)+(an/2))))</f>
      </c>
      <c r="Y28" s="5">
        <f t="shared" si="17"/>
        <v>0</v>
      </c>
      <c r="Z28" s="5">
        <f t="shared" si="11"/>
        <v>0</v>
      </c>
    </row>
    <row r="29" spans="1:26" s="1" customFormat="1" ht="30" customHeight="1">
      <c r="A29" s="62" t="s">
        <v>5</v>
      </c>
      <c r="B29" s="63"/>
      <c r="C29" s="57"/>
      <c r="D29" s="68"/>
      <c r="E29" s="82">
        <v>3</v>
      </c>
      <c r="F29" s="78">
        <v>319</v>
      </c>
      <c r="G29" s="79">
        <f t="shared" si="4"/>
        <v>1469.7154083333332</v>
      </c>
      <c r="H29" s="83">
        <f t="shared" si="5"/>
        <v>1809.369433266514</v>
      </c>
      <c r="I29" s="88">
        <f t="shared" si="6"/>
        <v>-339.65402493318084</v>
      </c>
      <c r="J29" s="87">
        <f>IF($B29="","",(IF((date_réforme-$B29)&gt;(an-1),"1 an dans échelon","pas 1 an dans échelon")))</f>
      </c>
      <c r="K29" s="89">
        <f>IF($B29="","",(IF((date_réforme-$B29)&gt;(an-1),"anc. acquise au-delà de 1 an","2 fois anc. acquise")))</f>
      </c>
      <c r="L29" s="90">
        <f t="shared" si="15"/>
      </c>
      <c r="M29" s="74">
        <f>IF($B29="","",(IF((date_réforme-$B29)&gt;(an-1),"4","3")))</f>
      </c>
      <c r="N29" s="74">
        <f>IF($B29="","",(IF(M29="6","358",(IF(M29="5","345",(IF(M29="4","334",(IF(M29="3","325","ano")))))))))</f>
      </c>
      <c r="O29" s="75">
        <f t="shared" si="0"/>
      </c>
      <c r="P29" s="80">
        <f t="shared" si="1"/>
      </c>
      <c r="Q29" s="85">
        <f t="shared" si="8"/>
      </c>
      <c r="R29" s="85">
        <f t="shared" si="9"/>
      </c>
      <c r="S29" s="76">
        <f>IF($B29="","",(IF((date_réforme-$B29)&gt;(an-1),(date_réforme)+(an*2)-Z29,(date_réforme)+(an*2)-Z29)))</f>
      </c>
      <c r="T29" s="77">
        <f t="shared" si="13"/>
      </c>
      <c r="U29" s="78">
        <f>IF($B29="","",(IF(T29=7,"371",(IF(T29=6,"358",(IF(T29=5,"345",(IF(T29=4,"334",(IF(T29=3,"325",(IF(T29=2,"316",(IF(T29=1,"310","ano")))))))))))))))</f>
      </c>
      <c r="V29" s="79">
        <f t="shared" si="2"/>
      </c>
      <c r="W29" s="81">
        <f t="shared" si="10"/>
      </c>
      <c r="X29" s="1">
        <f>IF($B29="","",(IF((date_réforme-$B29)&gt;(an-1),(date_réforme-B29-an),(date_réforme-B29)*2)))</f>
      </c>
      <c r="Y29" s="5">
        <f t="shared" si="17"/>
        <v>0</v>
      </c>
      <c r="Z29" s="5">
        <f t="shared" si="11"/>
        <v>0</v>
      </c>
    </row>
    <row r="30" spans="1:26" s="1" customFormat="1" ht="30" customHeight="1">
      <c r="A30" s="62" t="s">
        <v>5</v>
      </c>
      <c r="B30" s="63"/>
      <c r="C30" s="57"/>
      <c r="D30" s="68"/>
      <c r="E30" s="82">
        <v>2</v>
      </c>
      <c r="F30" s="78">
        <v>303</v>
      </c>
      <c r="G30" s="79">
        <f t="shared" si="4"/>
        <v>1395.999275</v>
      </c>
      <c r="H30" s="83">
        <f t="shared" si="5"/>
        <v>1718.6173613785386</v>
      </c>
      <c r="I30" s="88">
        <f t="shared" si="6"/>
        <v>-322.6180863785387</v>
      </c>
      <c r="J30" s="87"/>
      <c r="K30" s="89">
        <f>IF($B30="","","4/3 anc. acquise")</f>
      </c>
      <c r="L30" s="90">
        <f t="shared" si="15"/>
      </c>
      <c r="M30" s="74">
        <f>IF($B30="","","2")</f>
      </c>
      <c r="N30" s="74">
        <f>IF($B30="","",(IF(M30="2","316",(IF(M30="1","310","ano")))))</f>
      </c>
      <c r="O30" s="75">
        <f t="shared" si="0"/>
      </c>
      <c r="P30" s="80">
        <f t="shared" si="1"/>
      </c>
      <c r="Q30" s="85">
        <f t="shared" si="8"/>
      </c>
      <c r="R30" s="85">
        <f t="shared" si="9"/>
      </c>
      <c r="S30" s="76">
        <f>IF($B30="","",((date_réforme)+(an*2)-Z30))</f>
      </c>
      <c r="T30" s="77">
        <f t="shared" si="13"/>
      </c>
      <c r="U30" s="78">
        <f>IF($B30="","",(IF(T30=7,"371",(IF(T30=6,"358",(IF(T30=5,"345",(IF(T30=4,"334",(IF(T30=3,"325",(IF(T30=2,"316",(IF(T30=1,"310","ano")))))))))))))))</f>
      </c>
      <c r="V30" s="79">
        <f t="shared" si="2"/>
      </c>
      <c r="W30" s="81">
        <f t="shared" si="10"/>
      </c>
      <c r="X30" s="89">
        <f>IF($B30="","",(date_réforme-B30)*4/3)</f>
      </c>
      <c r="Y30" s="5">
        <f t="shared" si="17"/>
        <v>0</v>
      </c>
      <c r="Z30" s="5">
        <f t="shared" si="11"/>
        <v>0</v>
      </c>
    </row>
    <row r="31" spans="1:26" s="1" customFormat="1" ht="30" customHeight="1" thickBot="1">
      <c r="A31" s="127" t="s">
        <v>5</v>
      </c>
      <c r="B31" s="64"/>
      <c r="C31" s="69"/>
      <c r="D31" s="70"/>
      <c r="E31" s="128">
        <v>1</v>
      </c>
      <c r="F31" s="129">
        <v>297</v>
      </c>
      <c r="G31" s="130">
        <f t="shared" si="4"/>
        <v>1368.355725</v>
      </c>
      <c r="H31" s="131">
        <f t="shared" si="5"/>
        <v>1684.5853344205477</v>
      </c>
      <c r="I31" s="132">
        <f t="shared" si="6"/>
        <v>-316.22960942054783</v>
      </c>
      <c r="J31" s="91"/>
      <c r="K31" s="92">
        <f>IF($B31="","","anc. acquise")</f>
      </c>
      <c r="L31" s="133">
        <f t="shared" si="15"/>
      </c>
      <c r="M31" s="134">
        <f>IF($B31="","","1")</f>
      </c>
      <c r="N31" s="134">
        <f>IF($B31="","",(IF(M31="2","316",(IF(M31="1","310","ano")))))</f>
      </c>
      <c r="O31" s="135">
        <f t="shared" si="0"/>
      </c>
      <c r="P31" s="136">
        <f t="shared" si="1"/>
      </c>
      <c r="Q31" s="137">
        <f t="shared" si="8"/>
      </c>
      <c r="R31" s="137">
        <f t="shared" si="9"/>
      </c>
      <c r="S31" s="138">
        <f>IF($B31="","",((date_réforme)+(an)-Z31))</f>
      </c>
      <c r="T31" s="139">
        <f t="shared" si="13"/>
      </c>
      <c r="U31" s="129">
        <f>IF($B31="","",(IF(T31=7,"371",(IF(T31=6,"358",(IF(T31=5,"345",(IF(T31=4,"334",(IF(T31=3,"325",(IF(T31=2,"316",(IF(T31=1,"310","ano")))))))))))))))</f>
      </c>
      <c r="V31" s="130">
        <f t="shared" si="2"/>
      </c>
      <c r="W31" s="140">
        <f t="shared" si="10"/>
      </c>
      <c r="X31" s="89">
        <f>IF($B31="","",(date_réforme-B31))</f>
      </c>
      <c r="Y31" s="5">
        <f t="shared" si="17"/>
        <v>0</v>
      </c>
      <c r="Z31" s="5">
        <f t="shared" si="11"/>
        <v>0</v>
      </c>
    </row>
    <row r="32" spans="2:25" s="48" customFormat="1" ht="6" customHeight="1" thickTop="1">
      <c r="B32" s="49"/>
      <c r="C32" s="50"/>
      <c r="D32" s="50"/>
      <c r="E32" s="51"/>
      <c r="G32" s="52"/>
      <c r="H32" s="53"/>
      <c r="I32" s="53"/>
      <c r="O32" s="50"/>
      <c r="P32" s="51"/>
      <c r="Q32" s="53"/>
      <c r="R32" s="54"/>
      <c r="S32" s="49"/>
      <c r="T32" s="55"/>
      <c r="W32" s="51"/>
      <c r="Y32" s="50"/>
    </row>
    <row r="33" spans="1:25" s="48" customFormat="1" ht="15">
      <c r="A33" s="179" t="s">
        <v>44</v>
      </c>
      <c r="B33" s="156" t="s">
        <v>43</v>
      </c>
      <c r="C33" s="50"/>
      <c r="D33" s="50"/>
      <c r="E33" s="51"/>
      <c r="G33" s="52"/>
      <c r="H33" s="53"/>
      <c r="I33" s="56" t="s">
        <v>27</v>
      </c>
      <c r="L33" s="179" t="s">
        <v>61</v>
      </c>
      <c r="M33" s="156" t="s">
        <v>65</v>
      </c>
      <c r="O33" s="50"/>
      <c r="P33" s="51"/>
      <c r="Q33" s="53"/>
      <c r="R33" s="54"/>
      <c r="S33" s="49"/>
      <c r="T33" s="55"/>
      <c r="W33" s="51"/>
      <c r="Y33" s="50"/>
    </row>
    <row r="34" spans="1:25" s="48" customFormat="1" ht="15">
      <c r="A34" s="179" t="s">
        <v>45</v>
      </c>
      <c r="B34" s="156" t="s">
        <v>47</v>
      </c>
      <c r="C34" s="50"/>
      <c r="D34" s="50"/>
      <c r="E34" s="51"/>
      <c r="G34" s="52"/>
      <c r="H34" s="53"/>
      <c r="I34" s="56" t="s">
        <v>28</v>
      </c>
      <c r="L34" s="179" t="s">
        <v>62</v>
      </c>
      <c r="M34" s="156" t="s">
        <v>64</v>
      </c>
      <c r="O34" s="50"/>
      <c r="P34" s="51"/>
      <c r="Q34" s="53"/>
      <c r="R34" s="54"/>
      <c r="S34" s="49"/>
      <c r="T34" s="55"/>
      <c r="W34" s="51"/>
      <c r="Y34" s="50"/>
    </row>
    <row r="35" spans="1:25" s="48" customFormat="1" ht="15">
      <c r="A35" s="179" t="s">
        <v>46</v>
      </c>
      <c r="B35" s="156" t="s">
        <v>48</v>
      </c>
      <c r="C35" s="50"/>
      <c r="D35" s="50"/>
      <c r="E35" s="51"/>
      <c r="G35" s="52"/>
      <c r="H35" s="53"/>
      <c r="I35" s="56" t="s">
        <v>26</v>
      </c>
      <c r="L35" s="179" t="s">
        <v>63</v>
      </c>
      <c r="M35" s="156" t="s">
        <v>66</v>
      </c>
      <c r="O35" s="50"/>
      <c r="P35" s="51"/>
      <c r="Q35" s="53"/>
      <c r="R35" s="54"/>
      <c r="S35" s="49"/>
      <c r="T35" s="55"/>
      <c r="W35" s="51"/>
      <c r="Y35" s="50"/>
    </row>
    <row r="36" spans="2:25" s="48" customFormat="1" ht="15">
      <c r="B36" s="49"/>
      <c r="C36" s="50"/>
      <c r="D36" s="50"/>
      <c r="E36" s="51"/>
      <c r="G36" s="52"/>
      <c r="H36" s="53"/>
      <c r="I36" s="56" t="s">
        <v>33</v>
      </c>
      <c r="O36" s="50"/>
      <c r="P36" s="51"/>
      <c r="Q36" s="53"/>
      <c r="R36" s="54"/>
      <c r="S36" s="49"/>
      <c r="T36" s="55"/>
      <c r="W36" s="51"/>
      <c r="Y36" s="50"/>
    </row>
  </sheetData>
  <sheetProtection sheet="1" objects="1" scenarios="1"/>
  <mergeCells count="26">
    <mergeCell ref="C1:F1"/>
    <mergeCell ref="G1:K1"/>
    <mergeCell ref="L1:W1"/>
    <mergeCell ref="C2:D2"/>
    <mergeCell ref="G2:G3"/>
    <mergeCell ref="H2:H3"/>
    <mergeCell ref="I2:I3"/>
    <mergeCell ref="M2:M3"/>
    <mergeCell ref="J2:K2"/>
    <mergeCell ref="S2:S3"/>
    <mergeCell ref="P2:P3"/>
    <mergeCell ref="Q2:Q3"/>
    <mergeCell ref="A2:A3"/>
    <mergeCell ref="B2:B3"/>
    <mergeCell ref="E2:E3"/>
    <mergeCell ref="F2:F3"/>
    <mergeCell ref="L2:L3"/>
    <mergeCell ref="N2:N3"/>
    <mergeCell ref="O2:O3"/>
    <mergeCell ref="R2:R3"/>
    <mergeCell ref="Z2:Z3"/>
    <mergeCell ref="U2:U3"/>
    <mergeCell ref="V2:V3"/>
    <mergeCell ref="Y2:Y3"/>
    <mergeCell ref="X2:X3"/>
    <mergeCell ref="W2:W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4"/>
  <headerFooter alignWithMargins="0">
    <oddFooter>&amp;R&amp;16édité le &amp;D - page &amp;P / &amp;N</oddFooter>
  </headerFooter>
  <drawing r:id="rId3"/>
  <legacyDrawing r:id="rId2"/>
  <oleObjects>
    <oleObject progId="PBrush" shapeId="260950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R36"/>
  <sheetViews>
    <sheetView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4" sqref="B4"/>
    </sheetView>
  </sheetViews>
  <sheetFormatPr defaultColWidth="11.421875" defaultRowHeight="12.75"/>
  <cols>
    <col min="1" max="2" width="11.421875" style="3" customWidth="1"/>
    <col min="3" max="3" width="5.7109375" style="44" customWidth="1"/>
    <col min="4" max="4" width="6.7109375" style="44" customWidth="1"/>
    <col min="5" max="5" width="12.8515625" style="3" customWidth="1"/>
    <col min="6" max="6" width="8.140625" style="3" customWidth="1"/>
    <col min="7" max="8" width="11.421875" style="3" customWidth="1"/>
    <col min="9" max="9" width="25.421875" style="3" customWidth="1"/>
    <col min="10" max="10" width="13.8515625" style="3" hidden="1" customWidth="1"/>
    <col min="11" max="14" width="11.421875" style="3" customWidth="1"/>
    <col min="15" max="15" width="13.8515625" style="3" customWidth="1"/>
    <col min="16" max="16" width="4.7109375" style="197" hidden="1" customWidth="1"/>
    <col min="17" max="18" width="4.7109375" style="198" hidden="1" customWidth="1"/>
    <col min="19" max="19" width="7.7109375" style="42" hidden="1" customWidth="1"/>
    <col min="20" max="20" width="11.57421875" style="197" hidden="1" customWidth="1"/>
    <col min="21" max="21" width="5.7109375" style="198" hidden="1" customWidth="1"/>
    <col min="22" max="22" width="6.7109375" style="198" hidden="1" customWidth="1"/>
    <col min="23" max="23" width="7.7109375" style="45" hidden="1" customWidth="1"/>
    <col min="24" max="24" width="7.140625" style="42" hidden="1" customWidth="1"/>
    <col min="25" max="25" width="10.8515625" style="47" hidden="1" customWidth="1"/>
    <col min="26" max="26" width="11.57421875" style="84" hidden="1" customWidth="1"/>
    <col min="27" max="27" width="17.57421875" style="84" hidden="1" customWidth="1"/>
    <col min="28" max="28" width="26.421875" style="3" customWidth="1"/>
    <col min="29" max="29" width="47.7109375" style="3" bestFit="1" customWidth="1"/>
    <col min="30" max="30" width="10.57421875" style="40" customWidth="1"/>
    <col min="31" max="31" width="9.8515625" style="40" customWidth="1"/>
    <col min="32" max="32" width="15.8515625" style="40" customWidth="1"/>
    <col min="33" max="33" width="10.57421875" style="41" customWidth="1"/>
    <col min="34" max="34" width="16.421875" style="46" customWidth="1"/>
    <col min="35" max="35" width="11.57421875" style="84" hidden="1" customWidth="1"/>
    <col min="36" max="36" width="18.28125" style="86" hidden="1" customWidth="1"/>
    <col min="37" max="37" width="19.421875" style="43" customWidth="1"/>
    <col min="38" max="38" width="7.7109375" style="73" bestFit="1" customWidth="1"/>
    <col min="39" max="39" width="16.57421875" style="42" customWidth="1"/>
    <col min="40" max="40" width="9.8515625" style="42" customWidth="1"/>
    <col min="41" max="41" width="14.57421875" style="45" customWidth="1"/>
    <col min="42" max="42" width="8.00390625" style="3" customWidth="1"/>
    <col min="43" max="43" width="6.140625" style="4" bestFit="1" customWidth="1"/>
    <col min="44" max="44" width="8.57421875" style="3" customWidth="1"/>
    <col min="45" max="16384" width="11.421875" style="3" customWidth="1"/>
  </cols>
  <sheetData>
    <row r="1" spans="1:44" ht="102.75" customHeight="1">
      <c r="A1" s="48"/>
      <c r="B1" s="48"/>
      <c r="C1" s="426" t="s">
        <v>104</v>
      </c>
      <c r="D1" s="427"/>
      <c r="E1" s="427"/>
      <c r="F1" s="237"/>
      <c r="G1" s="236"/>
      <c r="H1" s="236"/>
      <c r="I1" s="468" t="s">
        <v>123</v>
      </c>
      <c r="J1" s="469"/>
      <c r="K1" s="469"/>
      <c r="L1" s="469"/>
      <c r="M1" s="469"/>
      <c r="N1" s="469"/>
      <c r="O1" s="470"/>
      <c r="P1" s="187"/>
      <c r="Q1" s="187"/>
      <c r="R1" s="187"/>
      <c r="S1" s="152"/>
      <c r="T1" s="187"/>
      <c r="U1" s="187"/>
      <c r="V1" s="187"/>
      <c r="W1" s="153"/>
      <c r="X1" s="154"/>
      <c r="Y1" s="235"/>
      <c r="Z1" s="178"/>
      <c r="AA1" s="178"/>
      <c r="AB1" s="178"/>
      <c r="AC1" s="178"/>
      <c r="AD1" s="442" t="s">
        <v>86</v>
      </c>
      <c r="AE1" s="443"/>
      <c r="AF1" s="443"/>
      <c r="AG1" s="443"/>
      <c r="AH1" s="443"/>
      <c r="AI1" s="443"/>
      <c r="AJ1" s="443"/>
      <c r="AK1" s="443"/>
      <c r="AL1" s="443"/>
      <c r="AM1" s="443"/>
      <c r="AN1" s="443"/>
      <c r="AO1" s="444"/>
      <c r="AP1" s="155"/>
      <c r="AQ1" s="145"/>
      <c r="AR1" s="144"/>
    </row>
    <row r="2" spans="1:44" ht="48" customHeight="1">
      <c r="A2" s="416" t="s">
        <v>90</v>
      </c>
      <c r="B2" s="462" t="s">
        <v>34</v>
      </c>
      <c r="C2" s="463" t="s">
        <v>130</v>
      </c>
      <c r="D2" s="464"/>
      <c r="E2" s="459" t="s">
        <v>105</v>
      </c>
      <c r="F2" s="416" t="s">
        <v>89</v>
      </c>
      <c r="G2" s="416" t="s">
        <v>87</v>
      </c>
      <c r="H2" s="457" t="s">
        <v>88</v>
      </c>
      <c r="I2" s="339" t="s">
        <v>67</v>
      </c>
      <c r="J2" s="459" t="s">
        <v>106</v>
      </c>
      <c r="K2" s="460" t="s">
        <v>107</v>
      </c>
      <c r="L2" s="471" t="s">
        <v>108</v>
      </c>
      <c r="M2" s="471" t="s">
        <v>109</v>
      </c>
      <c r="N2" s="472" t="s">
        <v>110</v>
      </c>
      <c r="O2" s="471" t="s">
        <v>111</v>
      </c>
      <c r="P2" s="465" t="s">
        <v>34</v>
      </c>
      <c r="Q2" s="453" t="s">
        <v>9</v>
      </c>
      <c r="R2" s="467"/>
      <c r="S2" s="411" t="s">
        <v>0</v>
      </c>
      <c r="T2" s="455" t="s">
        <v>34</v>
      </c>
      <c r="U2" s="453" t="s">
        <v>9</v>
      </c>
      <c r="V2" s="454"/>
      <c r="W2" s="411" t="s">
        <v>1</v>
      </c>
      <c r="X2" s="411" t="s">
        <v>2</v>
      </c>
      <c r="Y2" s="403" t="s">
        <v>25</v>
      </c>
      <c r="Z2" s="407" t="s">
        <v>29</v>
      </c>
      <c r="AA2" s="435" t="s">
        <v>35</v>
      </c>
      <c r="AB2" s="445" t="s">
        <v>81</v>
      </c>
      <c r="AC2" s="446"/>
      <c r="AD2" s="451" t="s">
        <v>73</v>
      </c>
      <c r="AE2" s="415" t="s">
        <v>74</v>
      </c>
      <c r="AF2" s="415" t="s">
        <v>82</v>
      </c>
      <c r="AG2" s="449" t="s">
        <v>83</v>
      </c>
      <c r="AH2" s="415" t="s">
        <v>76</v>
      </c>
      <c r="AI2" s="450" t="s">
        <v>29</v>
      </c>
      <c r="AJ2" s="450" t="s">
        <v>35</v>
      </c>
      <c r="AK2" s="447" t="s">
        <v>84</v>
      </c>
      <c r="AL2" s="247" t="s">
        <v>77</v>
      </c>
      <c r="AM2" s="417" t="s">
        <v>78</v>
      </c>
      <c r="AN2" s="441" t="s">
        <v>85</v>
      </c>
      <c r="AO2" s="417" t="s">
        <v>42</v>
      </c>
      <c r="AP2" s="414" t="s">
        <v>21</v>
      </c>
      <c r="AQ2" s="412" t="s">
        <v>7</v>
      </c>
      <c r="AR2" s="409" t="s">
        <v>22</v>
      </c>
    </row>
    <row r="3" spans="1:44" ht="72.75" customHeight="1" thickBot="1">
      <c r="A3" s="461"/>
      <c r="B3" s="448"/>
      <c r="C3" s="219" t="s">
        <v>11</v>
      </c>
      <c r="D3" s="219" t="s">
        <v>12</v>
      </c>
      <c r="E3" s="459"/>
      <c r="F3" s="458"/>
      <c r="G3" s="461"/>
      <c r="H3" s="458"/>
      <c r="I3" s="340" t="s">
        <v>10</v>
      </c>
      <c r="J3" s="459"/>
      <c r="K3" s="460"/>
      <c r="L3" s="471"/>
      <c r="M3" s="471"/>
      <c r="N3" s="471"/>
      <c r="O3" s="471"/>
      <c r="P3" s="466"/>
      <c r="Q3" s="188" t="s">
        <v>11</v>
      </c>
      <c r="R3" s="203" t="s">
        <v>12</v>
      </c>
      <c r="S3" s="418"/>
      <c r="T3" s="456"/>
      <c r="U3" s="188" t="s">
        <v>11</v>
      </c>
      <c r="V3" s="188" t="s">
        <v>12</v>
      </c>
      <c r="W3" s="421"/>
      <c r="X3" s="418"/>
      <c r="Y3" s="421"/>
      <c r="Z3" s="408"/>
      <c r="AA3" s="436"/>
      <c r="AB3" s="305" t="s">
        <v>30</v>
      </c>
      <c r="AC3" s="305" t="s">
        <v>10</v>
      </c>
      <c r="AD3" s="452"/>
      <c r="AE3" s="402"/>
      <c r="AF3" s="402"/>
      <c r="AG3" s="402"/>
      <c r="AH3" s="415"/>
      <c r="AI3" s="408"/>
      <c r="AJ3" s="408"/>
      <c r="AK3" s="448"/>
      <c r="AL3" s="225">
        <f>IF(AL4="11"," &lt;&lt; SOMMET","")</f>
      </c>
      <c r="AM3" s="424"/>
      <c r="AN3" s="424"/>
      <c r="AO3" s="417"/>
      <c r="AP3" s="413"/>
      <c r="AQ3" s="413"/>
      <c r="AR3" s="410"/>
    </row>
    <row r="4" spans="1:44" s="1" customFormat="1" ht="30" customHeight="1" thickBot="1" thickTop="1">
      <c r="A4" s="264" t="s">
        <v>3</v>
      </c>
      <c r="B4" s="262"/>
      <c r="C4" s="217"/>
      <c r="D4" s="220"/>
      <c r="E4" s="299">
        <f>IF($B4="","",B4)</f>
      </c>
      <c r="F4" s="277">
        <v>7</v>
      </c>
      <c r="G4" s="103">
        <v>514</v>
      </c>
      <c r="H4" s="160">
        <f aca="true" t="shared" si="0" ref="H4:H10">G4*valeur_ind_maj</f>
        <v>2368.130783333333</v>
      </c>
      <c r="I4" s="341">
        <f>IF($B4="","","acquise")</f>
      </c>
      <c r="J4" s="342">
        <f aca="true" t="shared" si="1" ref="J4:J10">IF($B4="","",B4)</f>
      </c>
      <c r="K4" s="343">
        <f>IF($B4="","","TSC")</f>
      </c>
      <c r="L4" s="344">
        <f>IF($B4="","","8")</f>
      </c>
      <c r="M4" s="344">
        <f>IF($B4="","",(IF(L4="8","534",(IF(L4="7","503",(IF(L4="6","479",(IF(L4="5","456",(IF(L4="4","435",(IF(L4="3","415",(IF(L4="2","396","ano")))))))))))))))</f>
      </c>
      <c r="N4" s="345">
        <f aca="true" t="shared" si="2" ref="N4:N10">IF($B4="","",(M4*valeur_ind_maj))</f>
      </c>
      <c r="O4" s="346">
        <f aca="true" t="shared" si="3" ref="O4:O31">IF($B4="","",N4-H4)</f>
      </c>
      <c r="P4" s="256">
        <f aca="true" t="shared" si="4" ref="P4:P31">IF(B4="","",J4)</f>
      </c>
      <c r="Q4" s="94"/>
      <c r="R4" s="204"/>
      <c r="S4" s="93" t="s">
        <v>68</v>
      </c>
      <c r="T4" s="257">
        <f>P4</f>
      </c>
      <c r="U4" s="94"/>
      <c r="V4" s="95"/>
      <c r="W4" s="96">
        <v>8</v>
      </c>
      <c r="X4" s="96">
        <v>534</v>
      </c>
      <c r="Y4" s="97">
        <f aca="true" t="shared" si="5" ref="Y4:Y31">X4*valeur_ind_maj</f>
        <v>2460.2759499999997</v>
      </c>
      <c r="Z4" s="98">
        <f aca="true" t="shared" si="6" ref="Z4:Z31">X4*valeur_IM_SMIC</f>
        <v>3028.850399261187</v>
      </c>
      <c r="AA4" s="248">
        <f aca="true" t="shared" si="7" ref="AA4:AA31">Y4-Z4</f>
        <v>-568.574449261187</v>
      </c>
      <c r="AB4" s="210">
        <f>IF($T4="","",(IF((date_réforme-$T4)&gt;(an*3),"3 ans dans échelon","pas 3 ans dans échelon")))</f>
      </c>
      <c r="AC4" s="101">
        <f>IF($T4="","",(IF((date_réforme-$T4)&gt;(an*3),"reclassement au-delà","anc acquise")))</f>
      </c>
      <c r="AD4" s="270">
        <f>IF(B4="","","3ème")</f>
      </c>
      <c r="AE4" s="286">
        <f>IF($T4="","",(IF((date_réforme-$T4)&gt;(an*3),"11","10")))</f>
      </c>
      <c r="AF4" s="96">
        <f aca="true" t="shared" si="8" ref="AF4:AF9">IF($T4="","",(IF(AE4="11","551",(IF(AE4="10","535",(IF(AE4="9","519",(IF(AE4="8","494",(IF(AE4="7","471",(IF(AE4="6","449",(IF(AE4="5","428","ano")))))))))))))))</f>
      </c>
      <c r="AG4" s="158">
        <f aca="true" t="shared" si="9" ref="AG4:AG31">IF($T4="","",(AF4*valeur_ind_maj))</f>
      </c>
      <c r="AH4" s="109">
        <f>IF($T4="","",AG4-H4)</f>
      </c>
      <c r="AI4" s="106">
        <f aca="true" t="shared" si="10" ref="AI4:AI31">IF($T4="","",(AF4*valeur_IM_SMIC))</f>
      </c>
      <c r="AJ4" s="106">
        <f aca="true" t="shared" si="11" ref="AJ4:AJ31">IF($T4="","",AG4-Z4)</f>
      </c>
      <c r="AK4" s="159">
        <f>IF($T4="","",(IF((date_réforme-$T4)&gt;(an*3),"sommet",((date_réforme+(an*3)-AR4)))))</f>
      </c>
      <c r="AL4" s="293">
        <f>IF($T4="","",(IF((date_réforme-$T4)&gt;(an*3),"11","11")))</f>
      </c>
      <c r="AM4" s="103">
        <f>IF($T4="","",(IF(AL4="11","551",(IF(AL4="10","535",(IF(AL4="9","519",(IF(AL4="8","494",(IF(AL4="7","471",(IF(AL4="6","449",(IF(AL4="5","428","ano")))))))))))))))</f>
      </c>
      <c r="AN4" s="160">
        <f aca="true" t="shared" si="12" ref="AN4:AN31">IF($T4="","",(AM4*valeur_ind_maj))</f>
      </c>
      <c r="AO4" s="105">
        <f>IF($T4="","",AN4-H4)</f>
      </c>
      <c r="AP4" s="5">
        <f>IF($T4="","",(IF((date_réforme-$T4)&gt;(an*3),"0",(date_réforme-T4))))</f>
      </c>
      <c r="AQ4" s="5">
        <f aca="true" t="shared" si="13" ref="AQ4:AQ31">(U4*(an/12))+V4</f>
        <v>0</v>
      </c>
      <c r="AR4" s="5">
        <f aca="true" t="shared" si="14" ref="AR4:AR31">SUM(AP4:AQ4)</f>
        <v>0</v>
      </c>
    </row>
    <row r="5" spans="1:44" s="1" customFormat="1" ht="30" customHeight="1" thickTop="1">
      <c r="A5" s="265" t="s">
        <v>3</v>
      </c>
      <c r="B5" s="221"/>
      <c r="C5" s="171"/>
      <c r="D5" s="172"/>
      <c r="E5" s="300">
        <f>IF($B5="","",B5)</f>
      </c>
      <c r="F5" s="278">
        <v>6</v>
      </c>
      <c r="G5" s="74">
        <v>490</v>
      </c>
      <c r="H5" s="165">
        <f t="shared" si="0"/>
        <v>2257.5565833333335</v>
      </c>
      <c r="I5" s="347">
        <f>IF($B5="","","acquise")</f>
      </c>
      <c r="J5" s="348">
        <f t="shared" si="1"/>
      </c>
      <c r="K5" s="349">
        <f aca="true" t="shared" si="15" ref="K5:K10">IF($B5="","","TSC")</f>
      </c>
      <c r="L5" s="350">
        <f>IF($B5="","","7")</f>
      </c>
      <c r="M5" s="350">
        <f aca="true" t="shared" si="16" ref="M5:M10">IF($B5="","",(IF(L5="8","534",(IF(L5="7","503",(IF(L5="6","479",(IF(L5="5","456",(IF(L5="4","435",(IF(L5="3","415",(IF(L5="2","396","ano")))))))))))))))</f>
      </c>
      <c r="N5" s="351">
        <f t="shared" si="2"/>
      </c>
      <c r="O5" s="352">
        <f t="shared" si="3"/>
      </c>
      <c r="P5" s="199">
        <f t="shared" si="4"/>
      </c>
      <c r="Q5" s="189" t="str">
        <f aca="true" t="shared" si="17" ref="Q5:R10">IF(C5="","0",C5)</f>
        <v>0</v>
      </c>
      <c r="R5" s="205" t="str">
        <f t="shared" si="17"/>
        <v>0</v>
      </c>
      <c r="S5" s="62" t="s">
        <v>68</v>
      </c>
      <c r="T5" s="238">
        <f aca="true" t="shared" si="18" ref="T5:T31">P5</f>
      </c>
      <c r="U5" s="189" t="str">
        <f aca="true" t="shared" si="19" ref="U5:V10">Q5</f>
        <v>0</v>
      </c>
      <c r="V5" s="239" t="str">
        <f t="shared" si="19"/>
        <v>0</v>
      </c>
      <c r="W5" s="226">
        <v>7</v>
      </c>
      <c r="X5" s="161">
        <v>503</v>
      </c>
      <c r="Y5" s="227">
        <f t="shared" si="5"/>
        <v>2317.4509416666665</v>
      </c>
      <c r="Z5" s="228">
        <f t="shared" si="6"/>
        <v>2853.018259978234</v>
      </c>
      <c r="AA5" s="282">
        <f t="shared" si="7"/>
        <v>-535.5673183115673</v>
      </c>
      <c r="AB5" s="285"/>
      <c r="AC5" s="229">
        <f>IF($T5="","","3/4 de l'anc acquise")</f>
      </c>
      <c r="AD5" s="271">
        <f aca="true" t="shared" si="20" ref="AD5:AD17">IF(B5="","","3ème")</f>
      </c>
      <c r="AE5" s="287">
        <f>IF($T5="","","9")</f>
      </c>
      <c r="AF5" s="161">
        <f t="shared" si="8"/>
      </c>
      <c r="AG5" s="162">
        <f t="shared" si="9"/>
      </c>
      <c r="AH5" s="163">
        <f aca="true" t="shared" si="21" ref="AH5:AH31">IF($T5="","",AG5-H5)</f>
      </c>
      <c r="AI5" s="230">
        <f t="shared" si="10"/>
      </c>
      <c r="AJ5" s="230">
        <f t="shared" si="11"/>
      </c>
      <c r="AK5" s="164">
        <f>IF($T5="","",(((date_réforme+(an*3)-AR5))))</f>
      </c>
      <c r="AL5" s="294">
        <f>IF(AE5="","",(AE5+1))</f>
      </c>
      <c r="AM5" s="74">
        <f>IF($T5="","",(IF(AL5=11,"551",(IF(AL5=10,"535",(IF(AL5=9,"519",(IF(AL5=8,"494",(IF(AL5=7,"471",(IF(AL5=6,"449",(IF(AL5=5,"428","ano")))))))))))))))</f>
      </c>
      <c r="AN5" s="165">
        <f t="shared" si="12"/>
      </c>
      <c r="AO5" s="80">
        <f aca="true" t="shared" si="22" ref="AO5:AO31">IF($T5="","",AN5-H5)</f>
      </c>
      <c r="AP5" s="5">
        <f>IF($T5="","",(date_réforme-T5)*3/4)</f>
      </c>
      <c r="AQ5" s="5">
        <f t="shared" si="13"/>
        <v>0</v>
      </c>
      <c r="AR5" s="5">
        <f t="shared" si="14"/>
        <v>0</v>
      </c>
    </row>
    <row r="6" spans="1:44" s="1" customFormat="1" ht="30" customHeight="1">
      <c r="A6" s="265" t="s">
        <v>3</v>
      </c>
      <c r="B6" s="221"/>
      <c r="C6" s="174"/>
      <c r="D6" s="175"/>
      <c r="E6" s="300">
        <f>IF($B6="","",B6)</f>
      </c>
      <c r="F6" s="278">
        <v>5</v>
      </c>
      <c r="G6" s="74">
        <v>467</v>
      </c>
      <c r="H6" s="165">
        <f t="shared" si="0"/>
        <v>2151.5896416666665</v>
      </c>
      <c r="I6" s="347">
        <f>IF($B6="","","acquise")</f>
      </c>
      <c r="J6" s="348">
        <f t="shared" si="1"/>
      </c>
      <c r="K6" s="349">
        <f t="shared" si="15"/>
      </c>
      <c r="L6" s="350">
        <f>IF($B6="","","6")</f>
      </c>
      <c r="M6" s="350">
        <f t="shared" si="16"/>
      </c>
      <c r="N6" s="351">
        <f t="shared" si="2"/>
      </c>
      <c r="O6" s="352">
        <f t="shared" si="3"/>
      </c>
      <c r="P6" s="199">
        <f t="shared" si="4"/>
      </c>
      <c r="Q6" s="190" t="str">
        <f t="shared" si="17"/>
        <v>0</v>
      </c>
      <c r="R6" s="206" t="str">
        <f t="shared" si="17"/>
        <v>0</v>
      </c>
      <c r="S6" s="62" t="s">
        <v>68</v>
      </c>
      <c r="T6" s="238">
        <f t="shared" si="18"/>
      </c>
      <c r="U6" s="190" t="str">
        <f t="shared" si="19"/>
        <v>0</v>
      </c>
      <c r="V6" s="240" t="str">
        <f t="shared" si="19"/>
        <v>0</v>
      </c>
      <c r="W6" s="82">
        <v>6</v>
      </c>
      <c r="X6" s="78">
        <v>479</v>
      </c>
      <c r="Y6" s="79">
        <f t="shared" si="5"/>
        <v>2206.8767416666665</v>
      </c>
      <c r="Z6" s="83">
        <f t="shared" si="6"/>
        <v>2716.8901521462703</v>
      </c>
      <c r="AA6" s="283">
        <f t="shared" si="7"/>
        <v>-510.01341047960386</v>
      </c>
      <c r="AC6" s="89">
        <f>IF($T6="","","anc acquise")</f>
      </c>
      <c r="AD6" s="271">
        <f t="shared" si="20"/>
      </c>
      <c r="AE6" s="288">
        <f>IF($T6="","","8")</f>
      </c>
      <c r="AF6" s="78">
        <f t="shared" si="8"/>
      </c>
      <c r="AG6" s="166">
        <f t="shared" si="9"/>
      </c>
      <c r="AH6" s="81">
        <f t="shared" si="21"/>
      </c>
      <c r="AI6" s="85">
        <f t="shared" si="10"/>
      </c>
      <c r="AJ6" s="85">
        <f t="shared" si="11"/>
      </c>
      <c r="AK6" s="164">
        <f>IF($T6="","",(((date_réforme+(an*3)-AR6))))</f>
      </c>
      <c r="AL6" s="294">
        <f>IF(AE6="","",(AE6+1))</f>
      </c>
      <c r="AM6" s="74">
        <f>IF($T6="","",(IF(AL6=11,"551",(IF(AL6=10,"535",(IF(AL6=9,"519",(IF(AL6=8,"494",(IF(AL6=7,"471",(IF(AL6=6,"449",(IF(AL6=5,"428","ano")))))))))))))))</f>
      </c>
      <c r="AN6" s="165">
        <f t="shared" si="12"/>
      </c>
      <c r="AO6" s="80">
        <f t="shared" si="22"/>
      </c>
      <c r="AP6" s="2">
        <f>IF($T6="","",((date_réforme-T6)))</f>
      </c>
      <c r="AQ6" s="5">
        <f t="shared" si="13"/>
        <v>0</v>
      </c>
      <c r="AR6" s="5">
        <f t="shared" si="14"/>
        <v>0</v>
      </c>
    </row>
    <row r="7" spans="1:44" s="1" customFormat="1" ht="30" customHeight="1">
      <c r="A7" s="265" t="s">
        <v>3</v>
      </c>
      <c r="B7" s="221"/>
      <c r="C7" s="174"/>
      <c r="D7" s="175"/>
      <c r="E7" s="300">
        <f>IF($B7="","",B7)</f>
      </c>
      <c r="F7" s="278">
        <v>4</v>
      </c>
      <c r="G7" s="74">
        <v>445</v>
      </c>
      <c r="H7" s="165">
        <f t="shared" si="0"/>
        <v>2050.2299583333333</v>
      </c>
      <c r="I7" s="347">
        <f>IF($B7="","","acquise")</f>
      </c>
      <c r="J7" s="348">
        <f t="shared" si="1"/>
      </c>
      <c r="K7" s="349">
        <f t="shared" si="15"/>
      </c>
      <c r="L7" s="350">
        <f>IF($B7="","","5")</f>
      </c>
      <c r="M7" s="350">
        <f t="shared" si="16"/>
      </c>
      <c r="N7" s="351">
        <f t="shared" si="2"/>
      </c>
      <c r="O7" s="352">
        <f t="shared" si="3"/>
      </c>
      <c r="P7" s="199">
        <f t="shared" si="4"/>
      </c>
      <c r="Q7" s="190" t="str">
        <f t="shared" si="17"/>
        <v>0</v>
      </c>
      <c r="R7" s="206" t="str">
        <f t="shared" si="17"/>
        <v>0</v>
      </c>
      <c r="S7" s="62" t="s">
        <v>68</v>
      </c>
      <c r="T7" s="238">
        <f t="shared" si="18"/>
      </c>
      <c r="U7" s="190" t="str">
        <f t="shared" si="19"/>
        <v>0</v>
      </c>
      <c r="V7" s="240" t="str">
        <f t="shared" si="19"/>
        <v>0</v>
      </c>
      <c r="W7" s="82">
        <v>5</v>
      </c>
      <c r="X7" s="78">
        <v>456</v>
      </c>
      <c r="Y7" s="79">
        <f t="shared" si="5"/>
        <v>2100.9098</v>
      </c>
      <c r="Z7" s="83">
        <f t="shared" si="6"/>
        <v>2586.4340488073053</v>
      </c>
      <c r="AA7" s="283">
        <f t="shared" si="7"/>
        <v>-485.5242488073054</v>
      </c>
      <c r="AC7" s="89">
        <f>IF($T7="","","anc acquise")</f>
      </c>
      <c r="AD7" s="271">
        <f t="shared" si="20"/>
      </c>
      <c r="AE7" s="288">
        <f>IF($T7="","","7")</f>
      </c>
      <c r="AF7" s="78">
        <f t="shared" si="8"/>
      </c>
      <c r="AG7" s="166">
        <f t="shared" si="9"/>
      </c>
      <c r="AH7" s="81">
        <f t="shared" si="21"/>
      </c>
      <c r="AI7" s="85">
        <f t="shared" si="10"/>
      </c>
      <c r="AJ7" s="85">
        <f t="shared" si="11"/>
      </c>
      <c r="AK7" s="167">
        <f>IF($T7="","",(date_réforme)+(an*3)-AR7)</f>
      </c>
      <c r="AL7" s="294">
        <f>IF(AE7="","",(AE7+1))</f>
      </c>
      <c r="AM7" s="74">
        <f>IF($T7="","",(IF(AL7="11","551",(IF(AL7="10","535",(IF(AL7=9,"519",(IF(AL7=8,"494",(IF(AL7=7,"471",(IF(AL7=6,"449",(IF(AL7=5,"428","ano")))))))))))))))</f>
      </c>
      <c r="AN7" s="165">
        <f t="shared" si="12"/>
      </c>
      <c r="AO7" s="80">
        <f t="shared" si="22"/>
      </c>
      <c r="AP7" s="2">
        <f>IF($T7="","",((date_réforme-T7)))</f>
      </c>
      <c r="AQ7" s="5">
        <f t="shared" si="13"/>
        <v>0</v>
      </c>
      <c r="AR7" s="5">
        <f t="shared" si="14"/>
        <v>0</v>
      </c>
    </row>
    <row r="8" spans="1:44" s="1" customFormat="1" ht="30" customHeight="1">
      <c r="A8" s="265" t="s">
        <v>3</v>
      </c>
      <c r="B8" s="221"/>
      <c r="C8" s="174"/>
      <c r="D8" s="175"/>
      <c r="E8" s="300">
        <f>IF($B8="","",B8+(an/2))</f>
      </c>
      <c r="F8" s="278">
        <v>3</v>
      </c>
      <c r="G8" s="74">
        <v>421</v>
      </c>
      <c r="H8" s="165">
        <f t="shared" si="0"/>
        <v>1939.6557583333333</v>
      </c>
      <c r="I8" s="347">
        <f>IF($B8="","","anc + 6 mois")</f>
      </c>
      <c r="J8" s="348">
        <f>IF($B8="","",B8+(an/2))</f>
      </c>
      <c r="K8" s="349">
        <f t="shared" si="15"/>
      </c>
      <c r="L8" s="350">
        <f>IF($B8="","","4")</f>
      </c>
      <c r="M8" s="350">
        <f t="shared" si="16"/>
      </c>
      <c r="N8" s="351">
        <f t="shared" si="2"/>
      </c>
      <c r="O8" s="352">
        <f t="shared" si="3"/>
      </c>
      <c r="P8" s="199">
        <f t="shared" si="4"/>
      </c>
      <c r="Q8" s="190" t="str">
        <f t="shared" si="17"/>
        <v>0</v>
      </c>
      <c r="R8" s="206" t="str">
        <f t="shared" si="17"/>
        <v>0</v>
      </c>
      <c r="S8" s="62" t="s">
        <v>68</v>
      </c>
      <c r="T8" s="238">
        <f t="shared" si="18"/>
      </c>
      <c r="U8" s="190" t="str">
        <f t="shared" si="19"/>
        <v>0</v>
      </c>
      <c r="V8" s="240" t="str">
        <f t="shared" si="19"/>
        <v>0</v>
      </c>
      <c r="W8" s="82">
        <v>4</v>
      </c>
      <c r="X8" s="78">
        <v>435</v>
      </c>
      <c r="Y8" s="79">
        <f t="shared" si="5"/>
        <v>2004.157375</v>
      </c>
      <c r="Z8" s="83">
        <f t="shared" si="6"/>
        <v>2467.3219544543376</v>
      </c>
      <c r="AA8" s="283">
        <f t="shared" si="7"/>
        <v>-463.1645794543376</v>
      </c>
      <c r="AC8" s="89">
        <f>IF($T8="","","2/3 de l'anc acquise")</f>
      </c>
      <c r="AD8" s="271">
        <f t="shared" si="20"/>
      </c>
      <c r="AE8" s="288">
        <f>IF($T8="","","6")</f>
      </c>
      <c r="AF8" s="78">
        <f t="shared" si="8"/>
      </c>
      <c r="AG8" s="166">
        <f t="shared" si="9"/>
      </c>
      <c r="AH8" s="81">
        <f t="shared" si="21"/>
      </c>
      <c r="AI8" s="85">
        <f t="shared" si="10"/>
      </c>
      <c r="AJ8" s="85">
        <f t="shared" si="11"/>
      </c>
      <c r="AK8" s="167">
        <f>IF($T8="","",(date_réforme)+(an*2)-AR8)</f>
      </c>
      <c r="AL8" s="294">
        <f>IF($AE8="","",AE8+1)</f>
      </c>
      <c r="AM8" s="74">
        <f>IF($T8="","",(IF(AL8="11","551",(IF(AL8="10","535",(IF(AL8=9,"519",(IF(AL8=8,"494",(IF(AL8=7,"471",(IF(AL8=6,"449",(IF(AL8=5,"428","ano")))))))))))))))</f>
      </c>
      <c r="AN8" s="165">
        <f t="shared" si="12"/>
      </c>
      <c r="AO8" s="80">
        <f t="shared" si="22"/>
      </c>
      <c r="AP8" s="2">
        <f>IF($T8="","",(date_réforme-T8)*2/3)</f>
      </c>
      <c r="AQ8" s="5">
        <f t="shared" si="13"/>
        <v>0</v>
      </c>
      <c r="AR8" s="5">
        <f t="shared" si="14"/>
        <v>0</v>
      </c>
    </row>
    <row r="9" spans="1:44" s="1" customFormat="1" ht="30" customHeight="1">
      <c r="A9" s="265" t="s">
        <v>3</v>
      </c>
      <c r="B9" s="221"/>
      <c r="C9" s="174"/>
      <c r="D9" s="175"/>
      <c r="E9" s="300">
        <f>IF($B9="","",date_reclast-((date_reclast-B9)*4/5))</f>
      </c>
      <c r="F9" s="278">
        <v>2</v>
      </c>
      <c r="G9" s="74">
        <v>397</v>
      </c>
      <c r="H9" s="165">
        <f t="shared" si="0"/>
        <v>1829.0815583333333</v>
      </c>
      <c r="I9" s="347">
        <f>IF($B9="","","anc x 4/5")</f>
      </c>
      <c r="J9" s="348">
        <f>IF($B9="","",date_reclast-((date_reclast-B9)*4/5))</f>
      </c>
      <c r="K9" s="349">
        <f t="shared" si="15"/>
      </c>
      <c r="L9" s="350">
        <f>IF($B9="","","3")</f>
      </c>
      <c r="M9" s="350">
        <f t="shared" si="16"/>
      </c>
      <c r="N9" s="351">
        <f t="shared" si="2"/>
      </c>
      <c r="O9" s="352">
        <f t="shared" si="3"/>
      </c>
      <c r="P9" s="199">
        <f t="shared" si="4"/>
      </c>
      <c r="Q9" s="190" t="str">
        <f t="shared" si="17"/>
        <v>0</v>
      </c>
      <c r="R9" s="206" t="str">
        <f t="shared" si="17"/>
        <v>0</v>
      </c>
      <c r="S9" s="62" t="s">
        <v>68</v>
      </c>
      <c r="T9" s="238">
        <f t="shared" si="18"/>
      </c>
      <c r="U9" s="190" t="str">
        <f t="shared" si="19"/>
        <v>0</v>
      </c>
      <c r="V9" s="240" t="str">
        <f t="shared" si="19"/>
        <v>0</v>
      </c>
      <c r="W9" s="82">
        <v>3</v>
      </c>
      <c r="X9" s="78">
        <v>415</v>
      </c>
      <c r="Y9" s="79">
        <f t="shared" si="5"/>
        <v>1912.0122083333333</v>
      </c>
      <c r="Z9" s="83">
        <f t="shared" si="6"/>
        <v>2353.881864594368</v>
      </c>
      <c r="AA9" s="283">
        <f t="shared" si="7"/>
        <v>-441.8696562610346</v>
      </c>
      <c r="AC9" s="89">
        <f>IF($T9="","","anc acquise")</f>
      </c>
      <c r="AD9" s="271">
        <f t="shared" si="20"/>
      </c>
      <c r="AE9" s="288">
        <f>IF($T9="","","5")</f>
      </c>
      <c r="AF9" s="78">
        <f t="shared" si="8"/>
      </c>
      <c r="AG9" s="166">
        <f t="shared" si="9"/>
      </c>
      <c r="AH9" s="81">
        <f t="shared" si="21"/>
      </c>
      <c r="AI9" s="85">
        <f t="shared" si="10"/>
      </c>
      <c r="AJ9" s="85">
        <f t="shared" si="11"/>
      </c>
      <c r="AK9" s="167">
        <f>IF($T9="","",(date_réforme)+(an*2)-AR9)</f>
      </c>
      <c r="AL9" s="294">
        <f>IF($AE9="","",AE9+1)</f>
      </c>
      <c r="AM9" s="74">
        <f>IF($T9="","",(IF(AL9="11","551",(IF(AL9="10","535",(IF(AL9=9,"519",(IF(AL9=8,"494",(IF(AL9=7,"471",(IF(AL9=6,"449",(IF(AL9=5,"428","ano")))))))))))))))</f>
      </c>
      <c r="AN9" s="165">
        <f t="shared" si="12"/>
      </c>
      <c r="AO9" s="80">
        <f t="shared" si="22"/>
      </c>
      <c r="AP9" s="2">
        <f>IF($T9="","",(date_réforme-T9))</f>
      </c>
      <c r="AQ9" s="5">
        <f t="shared" si="13"/>
        <v>0</v>
      </c>
      <c r="AR9" s="5">
        <f t="shared" si="14"/>
        <v>0</v>
      </c>
    </row>
    <row r="10" spans="1:44" s="1" customFormat="1" ht="30" customHeight="1" thickBot="1">
      <c r="A10" s="266" t="s">
        <v>3</v>
      </c>
      <c r="B10" s="258"/>
      <c r="C10" s="259"/>
      <c r="D10" s="251"/>
      <c r="E10" s="301">
        <f>IF($B10="","",B10)</f>
      </c>
      <c r="F10" s="279">
        <v>1</v>
      </c>
      <c r="G10" s="120">
        <v>377</v>
      </c>
      <c r="H10" s="170">
        <f t="shared" si="0"/>
        <v>1736.9363916666666</v>
      </c>
      <c r="I10" s="353">
        <f>IF($B10="","","acquise")</f>
      </c>
      <c r="J10" s="354">
        <f t="shared" si="1"/>
      </c>
      <c r="K10" s="355">
        <f t="shared" si="15"/>
      </c>
      <c r="L10" s="356">
        <f>IF($B10="","","2")</f>
      </c>
      <c r="M10" s="356">
        <f t="shared" si="16"/>
      </c>
      <c r="N10" s="357">
        <f t="shared" si="2"/>
      </c>
      <c r="O10" s="358">
        <f t="shared" si="3"/>
      </c>
      <c r="P10" s="213">
        <f t="shared" si="4"/>
      </c>
      <c r="Q10" s="214" t="str">
        <f t="shared" si="17"/>
        <v>0</v>
      </c>
      <c r="R10" s="215" t="str">
        <f t="shared" si="17"/>
        <v>0</v>
      </c>
      <c r="S10" s="110" t="s">
        <v>68</v>
      </c>
      <c r="T10" s="260">
        <f t="shared" si="18"/>
      </c>
      <c r="U10" s="214" t="str">
        <f t="shared" si="19"/>
        <v>0</v>
      </c>
      <c r="V10" s="261" t="str">
        <f t="shared" si="19"/>
        <v>0</v>
      </c>
      <c r="W10" s="112">
        <v>2</v>
      </c>
      <c r="X10" s="113">
        <v>396</v>
      </c>
      <c r="Y10" s="114">
        <f t="shared" si="5"/>
        <v>1824.4742999999999</v>
      </c>
      <c r="Z10" s="115">
        <f t="shared" si="6"/>
        <v>2246.1137792273967</v>
      </c>
      <c r="AA10" s="284">
        <f t="shared" si="7"/>
        <v>-421.6394792273968</v>
      </c>
      <c r="AB10" s="141"/>
      <c r="AC10" s="118">
        <f>IF($T10="","","anc acquise")</f>
      </c>
      <c r="AD10" s="272">
        <f t="shared" si="20"/>
      </c>
      <c r="AE10" s="289">
        <f>IF($T10="","","4")</f>
      </c>
      <c r="AF10" s="113">
        <f>IF($T10="","",(IF(AE10="5","428",(IF(AE10="4","410",(IF(AE10="3","395",(IF(AE10="2","380","365")))))))))</f>
      </c>
      <c r="AG10" s="168">
        <f t="shared" si="9"/>
      </c>
      <c r="AH10" s="126">
        <f t="shared" si="21"/>
      </c>
      <c r="AI10" s="123">
        <f t="shared" si="10"/>
      </c>
      <c r="AJ10" s="123">
        <f t="shared" si="11"/>
      </c>
      <c r="AK10" s="169">
        <f>IF($T10="","",(date_réforme)+(an*2)-AR10)</f>
      </c>
      <c r="AL10" s="295">
        <f>IF($AE10="","",AE10+1)</f>
      </c>
      <c r="AM10" s="120">
        <f>IF($T10="","",(IF(AL10="11","551",(IF(AL10="10","535",(IF(AL10=9,"519",(IF(AL10=8,"494",(IF(AL10=7,"471",(IF(AL10=6,"449",(IF(AL10=5,"428","ano")))))))))))))))</f>
      </c>
      <c r="AN10" s="170">
        <f t="shared" si="12"/>
      </c>
      <c r="AO10" s="122">
        <f t="shared" si="22"/>
      </c>
      <c r="AP10" s="2">
        <f>IF($T10="","",(date_réforme-T10))</f>
      </c>
      <c r="AQ10" s="5">
        <f t="shared" si="13"/>
        <v>0</v>
      </c>
      <c r="AR10" s="5">
        <f t="shared" si="14"/>
        <v>0</v>
      </c>
    </row>
    <row r="11" spans="1:44" s="1" customFormat="1" ht="30" customHeight="1" thickBot="1" thickTop="1">
      <c r="A11" s="264" t="s">
        <v>4</v>
      </c>
      <c r="B11" s="262"/>
      <c r="C11" s="217"/>
      <c r="D11" s="220"/>
      <c r="E11" s="299">
        <f>IF($B11="","",B11)</f>
      </c>
      <c r="F11" s="277">
        <v>8</v>
      </c>
      <c r="G11" s="103">
        <v>489</v>
      </c>
      <c r="H11" s="160">
        <f aca="true" t="shared" si="23" ref="H11:H31">G11*valeur_ind_maj</f>
        <v>2252.949325</v>
      </c>
      <c r="I11" s="341">
        <f>IF($B11="","","acquise")</f>
      </c>
      <c r="J11" s="342">
        <f>IF($B11="","",B11)</f>
      </c>
      <c r="K11" s="343">
        <f aca="true" t="shared" si="24" ref="K11:K18">IF($B11="","","TSP")</f>
      </c>
      <c r="L11" s="344">
        <f>IF($B11="","","8")</f>
      </c>
      <c r="M11" s="344">
        <f aca="true" t="shared" si="25" ref="M11:M18">IF($B11="","",(IF(L11="8","500",(IF(L11="7","475",(IF(L11="6","454",(IF(L11="5","430",(IF(L11="4","411",(IF(L11="3","388",(IF(L11="2","371","ano")))))))))))))))</f>
      </c>
      <c r="N11" s="345">
        <f aca="true" t="shared" si="26" ref="N11:N31">IF($B11="","",(M11*valeur_ind_maj))</f>
      </c>
      <c r="O11" s="346">
        <f t="shared" si="3"/>
      </c>
      <c r="P11" s="216">
        <f t="shared" si="4"/>
      </c>
      <c r="Q11" s="217"/>
      <c r="R11" s="218"/>
      <c r="S11" s="231" t="s">
        <v>69</v>
      </c>
      <c r="T11" s="263">
        <f t="shared" si="18"/>
      </c>
      <c r="U11" s="217"/>
      <c r="V11" s="220"/>
      <c r="W11" s="103">
        <v>8</v>
      </c>
      <c r="X11" s="103">
        <v>500</v>
      </c>
      <c r="Y11" s="160">
        <f t="shared" si="5"/>
        <v>2303.6291666666666</v>
      </c>
      <c r="Z11" s="98">
        <f t="shared" si="6"/>
        <v>2836.0022464992385</v>
      </c>
      <c r="AA11" s="248">
        <f t="shared" si="7"/>
        <v>-532.3730798325719</v>
      </c>
      <c r="AB11" s="210">
        <f>IF($T11="","",(IF((date_réforme-$T11)&gt;((an*6)+1),"6 ans dans échelon",IF((date_réforme-$T11)&gt;((an*3)),"3 ans dans échelon","pas 3 ans dans échelon"))))</f>
      </c>
      <c r="AC11" s="101">
        <f>IF($T11="","",(IF((date_réforme-$T11)&gt;((an*6)+1),"reclassement au-delà",IF((date_réforme-$T11)&gt;((an*3)),"reclassement au-delà","anc acquise"))))</f>
      </c>
      <c r="AD11" s="270">
        <f t="shared" si="20"/>
      </c>
      <c r="AE11" s="286">
        <f>IF($T11="","",(IF((date_réforme-$T11)&gt;((an*6)+1),"11",IF((date_réforme-$T11)&gt;((an*3)),"10","9"))))</f>
      </c>
      <c r="AF11" s="96">
        <f>IF($T11="","",(IF(AE11="11","551",(IF(AE11="10","535",(IF(AE11="9","519",(IF(AE11="8","494",(IF(AE11="7","471",(IF(AE11="6","449",(IF(AE11="5","428","ano")))))))))))))))</f>
      </c>
      <c r="AG11" s="158">
        <f t="shared" si="9"/>
      </c>
      <c r="AH11" s="109">
        <f t="shared" si="21"/>
      </c>
      <c r="AI11" s="106">
        <f t="shared" si="10"/>
      </c>
      <c r="AJ11" s="106">
        <f t="shared" si="11"/>
      </c>
      <c r="AK11" s="159">
        <f>IF($T11="","",(IF((date_réforme-$T11)&gt;((an*6)+1),"sommet",IF((date_réforme-$T11)&gt;((an*3)),(date_réforme+(an*3))-(date_réforme-(an*3)-T11),(date_réforme)-(date_réforme-(an*3)-T11)))))</f>
      </c>
      <c r="AL11" s="293">
        <f>IF($T11="","",(IF((date_réforme-$T11)&gt;((an*6)+1),"11",IF((date_réforme-$T11)&gt;((an*3)),"11","10"))))</f>
      </c>
      <c r="AM11" s="103">
        <f>IF($T11="","",(IF(AL11="11","551",(IF(AL11="10","535",(IF(AL11="9","519",(IF(AL11="8","494",(IF(AL11="7","471",(IF(AL11="6","449",(IF(AL11="5","428","ano")))))))))))))))</f>
      </c>
      <c r="AN11" s="160">
        <f t="shared" si="12"/>
      </c>
      <c r="AO11" s="105">
        <f t="shared" si="22"/>
      </c>
      <c r="AP11" s="5">
        <f>IF($T11="","",(IF((date_réforme-$T11)&gt;((an*6)+1),"0",IF((date_réforme-$T11)&gt;((an*3)),(date_réforme-T11-(an*3)-1),(date_réforme-T11)))))</f>
      </c>
      <c r="AQ11" s="5">
        <f t="shared" si="13"/>
        <v>0</v>
      </c>
      <c r="AR11" s="5">
        <f t="shared" si="14"/>
        <v>0</v>
      </c>
    </row>
    <row r="12" spans="1:44" s="1" customFormat="1" ht="30" customHeight="1" thickTop="1">
      <c r="A12" s="265" t="s">
        <v>4</v>
      </c>
      <c r="B12" s="222"/>
      <c r="C12" s="223"/>
      <c r="D12" s="172"/>
      <c r="E12" s="300">
        <f>IF($B12="","",B12)</f>
      </c>
      <c r="F12" s="278">
        <v>7</v>
      </c>
      <c r="G12" s="74">
        <v>465</v>
      </c>
      <c r="H12" s="165">
        <f t="shared" si="23"/>
        <v>2142.375125</v>
      </c>
      <c r="I12" s="347">
        <f>IF($B12="","","acquise")</f>
      </c>
      <c r="J12" s="348">
        <f>IF($B12="","",B12)</f>
      </c>
      <c r="K12" s="349">
        <f t="shared" si="24"/>
      </c>
      <c r="L12" s="350">
        <f>IF($B12="","","7")</f>
      </c>
      <c r="M12" s="350">
        <f t="shared" si="25"/>
      </c>
      <c r="N12" s="351">
        <f t="shared" si="26"/>
      </c>
      <c r="O12" s="352">
        <f t="shared" si="3"/>
      </c>
      <c r="P12" s="200">
        <f t="shared" si="4"/>
      </c>
      <c r="Q12" s="191" t="str">
        <f aca="true" t="shared" si="27" ref="Q12:R18">IF(C12="","0",C12)</f>
        <v>0</v>
      </c>
      <c r="R12" s="207" t="str">
        <f t="shared" si="27"/>
        <v>0</v>
      </c>
      <c r="S12" s="232" t="s">
        <v>69</v>
      </c>
      <c r="T12" s="241">
        <f t="shared" si="18"/>
      </c>
      <c r="U12" s="191" t="str">
        <f aca="true" t="shared" si="28" ref="U12:U18">Q12</f>
        <v>0</v>
      </c>
      <c r="V12" s="242" t="str">
        <f aca="true" t="shared" si="29" ref="V12:V18">R12</f>
        <v>0</v>
      </c>
      <c r="W12" s="173">
        <v>7</v>
      </c>
      <c r="X12" s="74">
        <v>475</v>
      </c>
      <c r="Y12" s="165">
        <f t="shared" si="5"/>
        <v>2188.447708333333</v>
      </c>
      <c r="Z12" s="83">
        <f t="shared" si="6"/>
        <v>2694.2021341742766</v>
      </c>
      <c r="AA12" s="283">
        <f t="shared" si="7"/>
        <v>-505.75442584094344</v>
      </c>
      <c r="AC12" s="89">
        <f>IF($T12="","","3/4 de l'anc acquise")</f>
      </c>
      <c r="AD12" s="271">
        <f t="shared" si="20"/>
      </c>
      <c r="AE12" s="288">
        <f>IF($T12="","","8")</f>
      </c>
      <c r="AF12" s="78">
        <f>IF($T12="","",(IF(AE12="11","551",(IF(AE12="10","535",(IF(AE12="9","519",(IF(AE12="8","494",(IF(AE12="7","471",(IF(AE12="6","449",(IF(AE12="5","428","ano")))))))))))))))</f>
      </c>
      <c r="AG12" s="166">
        <f t="shared" si="9"/>
      </c>
      <c r="AH12" s="81">
        <f t="shared" si="21"/>
      </c>
      <c r="AI12" s="85">
        <f t="shared" si="10"/>
      </c>
      <c r="AJ12" s="85">
        <f t="shared" si="11"/>
      </c>
      <c r="AK12" s="167">
        <f>IF($T12="","",(date_réforme)+(an*3)-AR12)</f>
      </c>
      <c r="AL12" s="294">
        <f aca="true" t="shared" si="30" ref="AL12:AL17">IF($AE12="","",AE12+1)</f>
      </c>
      <c r="AM12" s="74">
        <f>IF($T12="","",(IF(AL12="11","551",(IF(AL12="10","535",(IF(AL12=9,"519",(IF(AL12=8,"494",(IF(AL12=7,"471",(IF(AL12=6,"449",(IF(AL12=5,"428","ano")))))))))))))))</f>
      </c>
      <c r="AN12" s="165">
        <f t="shared" si="12"/>
      </c>
      <c r="AO12" s="80">
        <f t="shared" si="22"/>
      </c>
      <c r="AP12" s="1">
        <f>IF($T12="","",(date_réforme-T12)*3/4)</f>
      </c>
      <c r="AQ12" s="5">
        <f t="shared" si="13"/>
        <v>0</v>
      </c>
      <c r="AR12" s="5">
        <f t="shared" si="14"/>
        <v>0</v>
      </c>
    </row>
    <row r="13" spans="1:44" s="1" customFormat="1" ht="30" customHeight="1">
      <c r="A13" s="265" t="s">
        <v>4</v>
      </c>
      <c r="B13" s="222"/>
      <c r="C13" s="224"/>
      <c r="D13" s="175"/>
      <c r="E13" s="300">
        <f>IF($B13="","",B13)</f>
      </c>
      <c r="F13" s="278">
        <v>6</v>
      </c>
      <c r="G13" s="74">
        <v>443</v>
      </c>
      <c r="H13" s="165">
        <f t="shared" si="23"/>
        <v>2041.0154416666667</v>
      </c>
      <c r="I13" s="347">
        <f>IF($B13="","","acquise")</f>
      </c>
      <c r="J13" s="348">
        <f>IF($B13="","",B13)</f>
      </c>
      <c r="K13" s="349">
        <f t="shared" si="24"/>
      </c>
      <c r="L13" s="350">
        <f>IF($B13="","","6")</f>
      </c>
      <c r="M13" s="350">
        <f t="shared" si="25"/>
      </c>
      <c r="N13" s="351">
        <f t="shared" si="26"/>
      </c>
      <c r="O13" s="352">
        <f t="shared" si="3"/>
      </c>
      <c r="P13" s="200">
        <f t="shared" si="4"/>
      </c>
      <c r="Q13" s="192" t="str">
        <f t="shared" si="27"/>
        <v>0</v>
      </c>
      <c r="R13" s="208" t="str">
        <f t="shared" si="27"/>
        <v>0</v>
      </c>
      <c r="S13" s="232" t="s">
        <v>69</v>
      </c>
      <c r="T13" s="241">
        <f t="shared" si="18"/>
      </c>
      <c r="U13" s="192" t="str">
        <f t="shared" si="28"/>
        <v>0</v>
      </c>
      <c r="V13" s="243" t="str">
        <f t="shared" si="29"/>
        <v>0</v>
      </c>
      <c r="W13" s="173">
        <v>6</v>
      </c>
      <c r="X13" s="74">
        <v>454</v>
      </c>
      <c r="Y13" s="165">
        <f t="shared" si="5"/>
        <v>2091.6952833333335</v>
      </c>
      <c r="Z13" s="83">
        <f t="shared" si="6"/>
        <v>2575.0900398213084</v>
      </c>
      <c r="AA13" s="283">
        <f t="shared" si="7"/>
        <v>-483.394756487975</v>
      </c>
      <c r="AC13" s="89">
        <f>IF($T13="","","3/4 de l'anc acquise")</f>
      </c>
      <c r="AD13" s="271">
        <f t="shared" si="20"/>
      </c>
      <c r="AE13" s="288">
        <f>IF($T13="","","7")</f>
      </c>
      <c r="AF13" s="78">
        <f>IF($T13="","",(IF(AE13="11","551",(IF(AE13="10","535",(IF(AE13="9","519",(IF(AE13="8","494",(IF(AE13="7","471",(IF(AE13="6","449",(IF(AE13="5","428","ano")))))))))))))))</f>
      </c>
      <c r="AG13" s="166">
        <f t="shared" si="9"/>
      </c>
      <c r="AH13" s="81">
        <f t="shared" si="21"/>
      </c>
      <c r="AI13" s="85">
        <f t="shared" si="10"/>
      </c>
      <c r="AJ13" s="85">
        <f t="shared" si="11"/>
      </c>
      <c r="AK13" s="167">
        <f>IF($T13="","",(date_réforme)+(an*3)-AR13)</f>
      </c>
      <c r="AL13" s="294">
        <f t="shared" si="30"/>
      </c>
      <c r="AM13" s="74">
        <f>IF($T13="","",(IF(AL13="11","551",(IF(AL13="10","535",(IF(AL13=9,"519",(IF(AL13=8,"494",(IF(AL13=7,"471",(IF(AL13=6,"449",(IF(AL13=5,"428","ano")))))))))))))))</f>
      </c>
      <c r="AN13" s="165">
        <f t="shared" si="12"/>
      </c>
      <c r="AO13" s="80">
        <f t="shared" si="22"/>
      </c>
      <c r="AP13" s="1">
        <f>IF($T13="","",(date_réforme-T13)*3/4)</f>
      </c>
      <c r="AQ13" s="5">
        <f t="shared" si="13"/>
        <v>0</v>
      </c>
      <c r="AR13" s="5">
        <f t="shared" si="14"/>
        <v>0</v>
      </c>
    </row>
    <row r="14" spans="1:44" s="1" customFormat="1" ht="30" customHeight="1">
      <c r="A14" s="265" t="s">
        <v>4</v>
      </c>
      <c r="B14" s="222"/>
      <c r="C14" s="224"/>
      <c r="D14" s="175"/>
      <c r="E14" s="300">
        <f>IF($B14="","",date_reclast-((date_reclast-B14)*2/3))</f>
      </c>
      <c r="F14" s="278">
        <v>5</v>
      </c>
      <c r="G14" s="74">
        <v>420</v>
      </c>
      <c r="H14" s="165">
        <f t="shared" si="23"/>
        <v>1935.0484999999999</v>
      </c>
      <c r="I14" s="347">
        <f>IF($B14="","","anc x 2/3")</f>
      </c>
      <c r="J14" s="348">
        <f>IF($B14="","",date_reclast-((date_reclast-B14)*2/3))</f>
      </c>
      <c r="K14" s="349">
        <f t="shared" si="24"/>
      </c>
      <c r="L14" s="350">
        <f>IF($B14="","","5")</f>
      </c>
      <c r="M14" s="350">
        <f t="shared" si="25"/>
      </c>
      <c r="N14" s="351">
        <f t="shared" si="26"/>
      </c>
      <c r="O14" s="352">
        <f t="shared" si="3"/>
      </c>
      <c r="P14" s="200">
        <f t="shared" si="4"/>
      </c>
      <c r="Q14" s="192" t="str">
        <f t="shared" si="27"/>
        <v>0</v>
      </c>
      <c r="R14" s="208" t="str">
        <f t="shared" si="27"/>
        <v>0</v>
      </c>
      <c r="S14" s="232" t="s">
        <v>69</v>
      </c>
      <c r="T14" s="241">
        <f t="shared" si="18"/>
      </c>
      <c r="U14" s="192" t="str">
        <f t="shared" si="28"/>
        <v>0</v>
      </c>
      <c r="V14" s="243" t="str">
        <f t="shared" si="29"/>
        <v>0</v>
      </c>
      <c r="W14" s="173">
        <v>5</v>
      </c>
      <c r="X14" s="74">
        <v>430</v>
      </c>
      <c r="Y14" s="165">
        <f t="shared" si="5"/>
        <v>1981.1210833333332</v>
      </c>
      <c r="Z14" s="83">
        <f t="shared" si="6"/>
        <v>2438.961931989345</v>
      </c>
      <c r="AA14" s="283">
        <f t="shared" si="7"/>
        <v>-457.84084865601176</v>
      </c>
      <c r="AC14" s="89">
        <f>IF($T14="","","2/3 de l'anc acquise")</f>
      </c>
      <c r="AD14" s="271">
        <f t="shared" si="20"/>
      </c>
      <c r="AE14" s="288">
        <f>IF($T14="","","6")</f>
      </c>
      <c r="AF14" s="78">
        <f>IF($T14="","",(IF(AE14="11","551",(IF(AE14="10","535",(IF(AE14="9","519",(IF(AE14="8","494",(IF(AE14="7","471",(IF(AE14="6","449",(IF(AE14="5","428","ano")))))))))))))))</f>
      </c>
      <c r="AG14" s="166">
        <f t="shared" si="9"/>
      </c>
      <c r="AH14" s="81">
        <f t="shared" si="21"/>
      </c>
      <c r="AI14" s="85">
        <f t="shared" si="10"/>
      </c>
      <c r="AJ14" s="85">
        <f t="shared" si="11"/>
      </c>
      <c r="AK14" s="167">
        <f>IF($T14="","",(date_réforme)+(an*2)-AR14)</f>
      </c>
      <c r="AL14" s="294">
        <f t="shared" si="30"/>
      </c>
      <c r="AM14" s="74">
        <f>IF($T14="","",(IF(AL14="11","551",(IF(AL14="10","535",(IF(AL14=9,"519",(IF(AL14=8,"494",(IF(AL14=7,"471",(IF(AL14=6,"449",(IF(AL14=5,"428","ano")))))))))))))))</f>
      </c>
      <c r="AN14" s="165">
        <f t="shared" si="12"/>
      </c>
      <c r="AO14" s="80">
        <f t="shared" si="22"/>
      </c>
      <c r="AP14" s="1">
        <f>IF($T14="","",(date_réforme-T14)*2/3)</f>
      </c>
      <c r="AQ14" s="5">
        <f t="shared" si="13"/>
        <v>0</v>
      </c>
      <c r="AR14" s="5">
        <f t="shared" si="14"/>
        <v>0</v>
      </c>
    </row>
    <row r="15" spans="1:44" s="1" customFormat="1" ht="30" customHeight="1">
      <c r="A15" s="265" t="s">
        <v>4</v>
      </c>
      <c r="B15" s="222"/>
      <c r="C15" s="224"/>
      <c r="D15" s="175"/>
      <c r="E15" s="300">
        <f>IF($B15="","",date_reclast-((date_reclast-B15)*4/5))</f>
      </c>
      <c r="F15" s="278">
        <v>4</v>
      </c>
      <c r="G15" s="74">
        <v>405</v>
      </c>
      <c r="H15" s="165">
        <f t="shared" si="23"/>
        <v>1865.939625</v>
      </c>
      <c r="I15" s="347">
        <f>IF($B15="","","anc x 4/5")</f>
      </c>
      <c r="J15" s="348">
        <f>IF($B15="","",date_reclast-((date_reclast-B15)*4/5))</f>
      </c>
      <c r="K15" s="349">
        <f t="shared" si="24"/>
      </c>
      <c r="L15" s="350">
        <f>IF($B15="","","4")</f>
      </c>
      <c r="M15" s="350">
        <f t="shared" si="25"/>
      </c>
      <c r="N15" s="351">
        <f t="shared" si="26"/>
      </c>
      <c r="O15" s="352">
        <f t="shared" si="3"/>
      </c>
      <c r="P15" s="200">
        <f t="shared" si="4"/>
      </c>
      <c r="Q15" s="192" t="str">
        <f t="shared" si="27"/>
        <v>0</v>
      </c>
      <c r="R15" s="208" t="str">
        <f t="shared" si="27"/>
        <v>0</v>
      </c>
      <c r="S15" s="232" t="s">
        <v>69</v>
      </c>
      <c r="T15" s="241">
        <f t="shared" si="18"/>
      </c>
      <c r="U15" s="192" t="str">
        <f t="shared" si="28"/>
        <v>0</v>
      </c>
      <c r="V15" s="243" t="str">
        <f t="shared" si="29"/>
        <v>0</v>
      </c>
      <c r="W15" s="173">
        <v>4</v>
      </c>
      <c r="X15" s="74">
        <v>411</v>
      </c>
      <c r="Y15" s="165">
        <f t="shared" si="5"/>
        <v>1893.583175</v>
      </c>
      <c r="Z15" s="83">
        <f t="shared" si="6"/>
        <v>2331.193846622374</v>
      </c>
      <c r="AA15" s="283">
        <f t="shared" si="7"/>
        <v>-437.6106716223742</v>
      </c>
      <c r="AC15" s="89">
        <f>IF($T15="","","2/3 de l'anc acquise")</f>
      </c>
      <c r="AD15" s="271">
        <f t="shared" si="20"/>
      </c>
      <c r="AE15" s="288">
        <f>IF($T15="","","5")</f>
      </c>
      <c r="AF15" s="78">
        <f>IF($T15="","",(IF(AE15="11","551",(IF(AE15="10","535",(IF(AE15="9","519",(IF(AE15="8","494",(IF(AE15="7","471",(IF(AE15="6","449",(IF(AE15="5","428","ano")))))))))))))))</f>
      </c>
      <c r="AG15" s="166">
        <f t="shared" si="9"/>
      </c>
      <c r="AH15" s="81">
        <f t="shared" si="21"/>
      </c>
      <c r="AI15" s="85">
        <f t="shared" si="10"/>
      </c>
      <c r="AJ15" s="85">
        <f t="shared" si="11"/>
      </c>
      <c r="AK15" s="167">
        <f>IF($T15="","",(date_réforme)+(an*2)-AR15)</f>
      </c>
      <c r="AL15" s="294">
        <f t="shared" si="30"/>
      </c>
      <c r="AM15" s="74">
        <f>IF($T15="","",(IF(AL15="11","551",(IF(AL15="10","535",(IF(AL15=9,"519",(IF(AL15=8,"494",(IF(AL15=7,"471",(IF(AL15=6,"449",(IF(AL15=5,"428","ano")))))))))))))))</f>
      </c>
      <c r="AN15" s="165">
        <f t="shared" si="12"/>
      </c>
      <c r="AO15" s="80">
        <f t="shared" si="22"/>
      </c>
      <c r="AP15" s="1">
        <f>IF($T15="","",(date_réforme-T15)*2/3)</f>
      </c>
      <c r="AQ15" s="5">
        <f t="shared" si="13"/>
        <v>0</v>
      </c>
      <c r="AR15" s="5">
        <f t="shared" si="14"/>
        <v>0</v>
      </c>
    </row>
    <row r="16" spans="1:44" s="1" customFormat="1" ht="30" customHeight="1">
      <c r="A16" s="265" t="s">
        <v>4</v>
      </c>
      <c r="B16" s="222"/>
      <c r="C16" s="224"/>
      <c r="D16" s="175"/>
      <c r="E16" s="300">
        <f>IF($B16="","",date_reclast-((date_reclast-B16)*4/5))</f>
      </c>
      <c r="F16" s="278">
        <v>3</v>
      </c>
      <c r="G16" s="74">
        <v>384</v>
      </c>
      <c r="H16" s="165">
        <f t="shared" si="23"/>
        <v>1769.1871999999998</v>
      </c>
      <c r="I16" s="347">
        <f>IF($B16="","","anc x 4/5")</f>
      </c>
      <c r="J16" s="348">
        <f>IF($B16="","",date_reclast-((date_reclast-B16)*4/5))</f>
      </c>
      <c r="K16" s="349">
        <f t="shared" si="24"/>
      </c>
      <c r="L16" s="350">
        <f>IF($B16="","","3")</f>
      </c>
      <c r="M16" s="350">
        <f t="shared" si="25"/>
      </c>
      <c r="N16" s="351">
        <f t="shared" si="26"/>
      </c>
      <c r="O16" s="352">
        <f t="shared" si="3"/>
      </c>
      <c r="P16" s="200">
        <f t="shared" si="4"/>
      </c>
      <c r="Q16" s="192" t="str">
        <f t="shared" si="27"/>
        <v>0</v>
      </c>
      <c r="R16" s="208" t="str">
        <f t="shared" si="27"/>
        <v>0</v>
      </c>
      <c r="S16" s="232" t="s">
        <v>69</v>
      </c>
      <c r="T16" s="241">
        <f t="shared" si="18"/>
      </c>
      <c r="U16" s="192" t="str">
        <f t="shared" si="28"/>
        <v>0</v>
      </c>
      <c r="V16" s="243" t="str">
        <f t="shared" si="29"/>
        <v>0</v>
      </c>
      <c r="W16" s="173">
        <v>3</v>
      </c>
      <c r="X16" s="74">
        <v>388</v>
      </c>
      <c r="Y16" s="165">
        <f t="shared" si="5"/>
        <v>1787.6162333333332</v>
      </c>
      <c r="Z16" s="83">
        <f t="shared" si="6"/>
        <v>2200.737743283409</v>
      </c>
      <c r="AA16" s="283">
        <f t="shared" si="7"/>
        <v>-413.12150995007596</v>
      </c>
      <c r="AB16" s="1">
        <f>IF($T16="","",(IF((date_réforme-$T16)&gt;((an*1.5)+1),"1,5 an dans échelon","pas 1,5 an dans échelon")))</f>
      </c>
      <c r="AC16" s="89">
        <f>IF($T16="","",(IF((date_réforme-$T16)&gt;((an*1.5)+1),"2 fois l'anc acquise au-delà de 1,5 an","4/3 de l'anc acquise")))</f>
      </c>
      <c r="AD16" s="271">
        <f t="shared" si="20"/>
      </c>
      <c r="AE16" s="288">
        <f>IF($T16="","",(IF((date_réforme-$T16)&gt;((an*1.5)+1),"4","3")))</f>
      </c>
      <c r="AF16" s="78">
        <f>IF($T16="","",(IF(AE16="5","428",(IF(AE16="4","410",(IF(AE16="3","395",(IF(AE16="2","380","365")))))))))</f>
      </c>
      <c r="AG16" s="166">
        <f t="shared" si="9"/>
      </c>
      <c r="AH16" s="81">
        <f t="shared" si="21"/>
      </c>
      <c r="AI16" s="85">
        <f t="shared" si="10"/>
      </c>
      <c r="AJ16" s="85">
        <f t="shared" si="11"/>
      </c>
      <c r="AK16" s="167">
        <f>IF($T16="","",(IF((date_réforme-$T16)&gt;((an*1.5)+1),(date_réforme)+(an*2)-AR16,(date_réforme)+(an*2)-AR16)))</f>
      </c>
      <c r="AL16" s="294">
        <f t="shared" si="30"/>
      </c>
      <c r="AM16" s="74">
        <f>IF($T16="","",(IF(AL16="6","449",(IF(AL16=5,"428",(IF(AL16=4,"410",(IF(AL16=3,"395",(IF(AL16=2,"380",(IF(AL16=1,"365","ano")))))))))))))</f>
      </c>
      <c r="AN16" s="165">
        <f t="shared" si="12"/>
      </c>
      <c r="AO16" s="80">
        <f t="shared" si="22"/>
      </c>
      <c r="AP16" s="1">
        <f>IF($T16="","",(IF((date_réforme-$T16)&gt;((an*1.5)+1),((date_réforme-T16-(an*1.5))*2),(date_réforme-T16)*4/3)))</f>
      </c>
      <c r="AQ16" s="5">
        <f t="shared" si="13"/>
        <v>0</v>
      </c>
      <c r="AR16" s="5">
        <f t="shared" si="14"/>
        <v>0</v>
      </c>
    </row>
    <row r="17" spans="1:44" s="1" customFormat="1" ht="30" customHeight="1">
      <c r="A17" s="265" t="s">
        <v>4</v>
      </c>
      <c r="B17" s="222"/>
      <c r="C17" s="224"/>
      <c r="D17" s="175"/>
      <c r="E17" s="300">
        <f>IF($B17="","",date_reclast-((date_reclast-B17)*4/5))</f>
      </c>
      <c r="F17" s="278">
        <v>2</v>
      </c>
      <c r="G17" s="74">
        <v>370</v>
      </c>
      <c r="H17" s="165">
        <f t="shared" si="23"/>
        <v>1704.6855833333334</v>
      </c>
      <c r="I17" s="347">
        <f>IF($B17="","","anc x 4/5")</f>
      </c>
      <c r="J17" s="348">
        <f>IF($B17="","",date_reclast-((date_reclast-B17)*4/5))</f>
      </c>
      <c r="K17" s="349">
        <f t="shared" si="24"/>
      </c>
      <c r="L17" s="350">
        <f>IF($B17="","","2")</f>
      </c>
      <c r="M17" s="350">
        <f t="shared" si="25"/>
      </c>
      <c r="N17" s="351">
        <f t="shared" si="26"/>
      </c>
      <c r="O17" s="352">
        <f t="shared" si="3"/>
      </c>
      <c r="P17" s="200">
        <f t="shared" si="4"/>
      </c>
      <c r="Q17" s="192" t="str">
        <f t="shared" si="27"/>
        <v>0</v>
      </c>
      <c r="R17" s="208" t="str">
        <f t="shared" si="27"/>
        <v>0</v>
      </c>
      <c r="S17" s="232" t="s">
        <v>69</v>
      </c>
      <c r="T17" s="241">
        <f t="shared" si="18"/>
      </c>
      <c r="U17" s="192" t="str">
        <f t="shared" si="28"/>
        <v>0</v>
      </c>
      <c r="V17" s="243" t="str">
        <f t="shared" si="29"/>
        <v>0</v>
      </c>
      <c r="W17" s="173">
        <v>2</v>
      </c>
      <c r="X17" s="74">
        <v>371</v>
      </c>
      <c r="Y17" s="165">
        <f t="shared" si="5"/>
        <v>1709.2928416666666</v>
      </c>
      <c r="Z17" s="83">
        <f t="shared" si="6"/>
        <v>2104.3136669024348</v>
      </c>
      <c r="AA17" s="283">
        <f t="shared" si="7"/>
        <v>-395.02082523576814</v>
      </c>
      <c r="AC17" s="89">
        <f>IF($T17="","","4/5 de l'anc acquise")</f>
      </c>
      <c r="AD17" s="271">
        <f t="shared" si="20"/>
      </c>
      <c r="AE17" s="288">
        <f>IF($T17="","","2")</f>
      </c>
      <c r="AF17" s="78">
        <f>IF($T17="","",(IF(AE17="5","428",(IF(AE17="4","410",(IF(AE17="3","395",(IF(AE17="2","380",(IF(AE17="1","365","ano")))))))))))</f>
      </c>
      <c r="AG17" s="166">
        <f t="shared" si="9"/>
      </c>
      <c r="AH17" s="81">
        <f t="shared" si="21"/>
      </c>
      <c r="AI17" s="85">
        <f t="shared" si="10"/>
      </c>
      <c r="AJ17" s="85">
        <f t="shared" si="11"/>
      </c>
      <c r="AK17" s="167">
        <f>IF($T17="","",(date_réforme)+(an*2)-AR17)</f>
      </c>
      <c r="AL17" s="294">
        <f t="shared" si="30"/>
      </c>
      <c r="AM17" s="74">
        <f>IF($T17="","",(IF(AL17="6","449",(IF(AL17=5,"428",(IF(AL17=4,"410",(IF(AL17=3,"395",(IF(AL17=2,"380",(IF(AL17=1,"365","ano")))))))))))))</f>
      </c>
      <c r="AN17" s="165">
        <f t="shared" si="12"/>
      </c>
      <c r="AO17" s="80">
        <f t="shared" si="22"/>
      </c>
      <c r="AP17" s="1">
        <f>IF($T17="","",(date_réforme-T17)*4/5)</f>
      </c>
      <c r="AQ17" s="5">
        <f t="shared" si="13"/>
        <v>0</v>
      </c>
      <c r="AR17" s="5">
        <f t="shared" si="14"/>
        <v>0</v>
      </c>
    </row>
    <row r="18" spans="1:44" s="1" customFormat="1" ht="30" customHeight="1" thickBot="1">
      <c r="A18" s="266" t="s">
        <v>4</v>
      </c>
      <c r="B18" s="234"/>
      <c r="C18" s="250"/>
      <c r="D18" s="251"/>
      <c r="E18" s="301">
        <f>IF($B18="","",B18+an)</f>
      </c>
      <c r="F18" s="279">
        <v>1</v>
      </c>
      <c r="G18" s="120">
        <v>362</v>
      </c>
      <c r="H18" s="170">
        <f t="shared" si="23"/>
        <v>1667.8275166666667</v>
      </c>
      <c r="I18" s="353">
        <f>IF($B18="","","anc + 1 an")</f>
      </c>
      <c r="J18" s="354">
        <f>IF($B18="","",B18+an)</f>
      </c>
      <c r="K18" s="355">
        <f t="shared" si="24"/>
      </c>
      <c r="L18" s="356">
        <f>IF($B18="","","2")</f>
      </c>
      <c r="M18" s="356">
        <f t="shared" si="25"/>
      </c>
      <c r="N18" s="357">
        <f t="shared" si="26"/>
      </c>
      <c r="O18" s="358">
        <f t="shared" si="3"/>
      </c>
      <c r="P18" s="201">
        <f t="shared" si="4"/>
      </c>
      <c r="Q18" s="252" t="str">
        <f t="shared" si="27"/>
        <v>0</v>
      </c>
      <c r="R18" s="253" t="str">
        <f t="shared" si="27"/>
        <v>0</v>
      </c>
      <c r="S18" s="233" t="s">
        <v>69</v>
      </c>
      <c r="T18" s="244">
        <f t="shared" si="18"/>
      </c>
      <c r="U18" s="252" t="str">
        <f t="shared" si="28"/>
        <v>0</v>
      </c>
      <c r="V18" s="254" t="str">
        <f t="shared" si="29"/>
        <v>0</v>
      </c>
      <c r="W18" s="176">
        <v>1</v>
      </c>
      <c r="X18" s="120">
        <v>357</v>
      </c>
      <c r="Y18" s="170">
        <f t="shared" si="5"/>
        <v>1644.791225</v>
      </c>
      <c r="Z18" s="115">
        <f t="shared" si="6"/>
        <v>2024.9056040004564</v>
      </c>
      <c r="AA18" s="284">
        <f t="shared" si="7"/>
        <v>-380.11437900045644</v>
      </c>
      <c r="AB18" s="141"/>
      <c r="AC18" s="117">
        <f>IF($T18="","","4/5 de l'anc acquise")</f>
      </c>
      <c r="AD18" s="272">
        <f>IF(B18="","","3ème")</f>
      </c>
      <c r="AE18" s="289">
        <f>IF($T18="","","2")</f>
      </c>
      <c r="AF18" s="113">
        <f>IF($T18="","",(IF(AE18="5","428",(IF(AE18="4","410",(IF(AE18="3","395",(IF(AE18="2","380",(IF(AE18="1","365","ano")))))))))))</f>
      </c>
      <c r="AG18" s="168">
        <f t="shared" si="9"/>
      </c>
      <c r="AH18" s="126">
        <f>IF($T18="","",AG18-H18)</f>
      </c>
      <c r="AI18" s="123">
        <f>IF($T18="","",(AF18*valeur_IM_SMIC))</f>
      </c>
      <c r="AJ18" s="123">
        <f>IF($T18="","",AG18-Z18)</f>
      </c>
      <c r="AK18" s="169">
        <f>IF($T18="","",(date_réforme)+(an*2)-AR18)</f>
      </c>
      <c r="AL18" s="295">
        <f>IF($AE18="","",AE18+1)</f>
      </c>
      <c r="AM18" s="120">
        <f>IF($T18="","",(IF(AL18="6","449",(IF(AL18=5,"428",(IF(AL18=4,"410",(IF(AL18=3,"395",(IF(AL18=2,"380",(IF(AL18=1,"365","ano")))))))))))))</f>
      </c>
      <c r="AN18" s="170">
        <f t="shared" si="12"/>
      </c>
      <c r="AO18" s="122">
        <f>IF($T18="","",AN18-H18)</f>
      </c>
      <c r="AP18" s="1">
        <f>IF($T18="","",(IF((date_réforme-$T18)&gt;((an)-1),((date_réforme-T18-(an))),"")))</f>
      </c>
      <c r="AQ18" s="5">
        <f t="shared" si="13"/>
        <v>0</v>
      </c>
      <c r="AR18" s="5">
        <f t="shared" si="14"/>
        <v>0</v>
      </c>
    </row>
    <row r="19" spans="1:44" s="1" customFormat="1" ht="30" customHeight="1" thickBot="1" thickTop="1">
      <c r="A19" s="267" t="s">
        <v>5</v>
      </c>
      <c r="B19" s="255"/>
      <c r="C19" s="94"/>
      <c r="D19" s="95"/>
      <c r="E19" s="302">
        <f>IF($B19="","",B19)</f>
      </c>
      <c r="F19" s="280">
        <v>13</v>
      </c>
      <c r="G19" s="96">
        <v>463</v>
      </c>
      <c r="H19" s="97">
        <f t="shared" si="23"/>
        <v>2133.160608333333</v>
      </c>
      <c r="I19" s="341">
        <f>IF($B19="","","acquise")</f>
      </c>
      <c r="J19" s="359">
        <f aca="true" t="shared" si="31" ref="J19:J31">IF($B19="","",B19)</f>
      </c>
      <c r="K19" s="360">
        <f aca="true" t="shared" si="32" ref="K19:K31">IF($B19="","","TS")</f>
      </c>
      <c r="L19" s="361">
        <f>IF($B19="","","13")</f>
      </c>
      <c r="M19" s="361">
        <f>IF($B19="","",(IF(L19="13","473",(IF(L19="12","449",(IF(L19="11","428",(IF(L19="10","412","ano")))))))))</f>
      </c>
      <c r="N19" s="362">
        <f t="shared" si="26"/>
      </c>
      <c r="O19" s="363">
        <f t="shared" si="3"/>
      </c>
      <c r="P19" s="256">
        <f t="shared" si="4"/>
      </c>
      <c r="Q19" s="94"/>
      <c r="R19" s="204"/>
      <c r="S19" s="93" t="s">
        <v>70</v>
      </c>
      <c r="T19" s="257">
        <f t="shared" si="18"/>
      </c>
      <c r="U19" s="94"/>
      <c r="V19" s="95"/>
      <c r="W19" s="96">
        <v>13</v>
      </c>
      <c r="X19" s="96">
        <v>473</v>
      </c>
      <c r="Y19" s="97">
        <f t="shared" si="5"/>
        <v>2179.2331916666667</v>
      </c>
      <c r="Z19" s="98">
        <f t="shared" si="6"/>
        <v>2682.8581251882797</v>
      </c>
      <c r="AA19" s="248">
        <f t="shared" si="7"/>
        <v>-503.624933521613</v>
      </c>
      <c r="AB19" s="210">
        <f>IF($T19="","",(IF((date_réforme-$T19)&gt;(an*4),"4 ans dans échelon","pas 4 ans dans échelon")))</f>
      </c>
      <c r="AC19" s="101">
        <f>IF($T19="","",(IF((date_réforme-$T19)&gt;((an*4)),"reclassement au-delà","anc acquise")))</f>
      </c>
      <c r="AD19" s="273">
        <f>IF(B19="","","2ème")</f>
      </c>
      <c r="AE19" s="290">
        <f>IF($T19="","",(IF((date_réforme-$T19)&gt;(an*4),"13","12")))</f>
      </c>
      <c r="AF19" s="103">
        <f>IF($T19="","",(IF(AE19="13","515",(IF(AE19="12","491",(IF(AE19="11","468",(IF(AE19="10","445","ano")))))))))</f>
      </c>
      <c r="AG19" s="104">
        <f t="shared" si="9"/>
      </c>
      <c r="AH19" s="105">
        <f t="shared" si="21"/>
      </c>
      <c r="AI19" s="106">
        <f t="shared" si="10"/>
      </c>
      <c r="AJ19" s="106">
        <f t="shared" si="11"/>
      </c>
      <c r="AK19" s="143">
        <f>IF($T19="","",(IF((date_réforme-$T19)&gt;(an*4),"sommet",(date_réforme)+(an*4)-AR19)))</f>
      </c>
      <c r="AL19" s="296">
        <f>IF($AE19="","",IF($AE19="13",13,AE19+1))</f>
      </c>
      <c r="AM19" s="96">
        <f>IF($T19="","",(IF(AL19=13,"515",(IF(AL19="12","491",(IF(AL19="11","468",(IF(AL19="10","445","ano")))))))))</f>
      </c>
      <c r="AN19" s="97">
        <f t="shared" si="12"/>
      </c>
      <c r="AO19" s="109">
        <f t="shared" si="22"/>
      </c>
      <c r="AP19" s="1">
        <f>IF($T19="","",(IF((date_réforme-$T19)&gt;(an*4),"0",(date_réforme-T19))))</f>
      </c>
      <c r="AQ19" s="5">
        <f t="shared" si="13"/>
        <v>0</v>
      </c>
      <c r="AR19" s="5">
        <f t="shared" si="14"/>
        <v>0</v>
      </c>
    </row>
    <row r="20" spans="1:44" s="1" customFormat="1" ht="30" customHeight="1" thickTop="1">
      <c r="A20" s="268" t="s">
        <v>5</v>
      </c>
      <c r="B20" s="63"/>
      <c r="C20" s="183"/>
      <c r="D20" s="67"/>
      <c r="E20" s="303">
        <f aca="true" t="shared" si="33" ref="E20:E31">IF($B20="","",B20)</f>
      </c>
      <c r="F20" s="281">
        <v>12</v>
      </c>
      <c r="G20" s="78">
        <v>439</v>
      </c>
      <c r="H20" s="79">
        <f t="shared" si="23"/>
        <v>2022.5864083333333</v>
      </c>
      <c r="I20" s="347">
        <f aca="true" t="shared" si="34" ref="I20:I31">IF($B20="","","acquise")</f>
      </c>
      <c r="J20" s="364">
        <f t="shared" si="31"/>
      </c>
      <c r="K20" s="365">
        <f t="shared" si="32"/>
      </c>
      <c r="L20" s="366">
        <f>IF($B20="","","12")</f>
      </c>
      <c r="M20" s="366">
        <f>IF($B20="","",(IF(L20="13","473",(IF(L20="12","449",(IF(L20="11","428",(IF(L20="10","412","ano")))))))))</f>
      </c>
      <c r="N20" s="367">
        <f t="shared" si="26"/>
      </c>
      <c r="O20" s="368">
        <f t="shared" si="3"/>
      </c>
      <c r="P20" s="199">
        <f t="shared" si="4"/>
      </c>
      <c r="Q20" s="189" t="str">
        <f aca="true" t="shared" si="35" ref="Q20:R31">IF(C20="","0",C20)</f>
        <v>0</v>
      </c>
      <c r="R20" s="205" t="str">
        <f t="shared" si="35"/>
        <v>0</v>
      </c>
      <c r="S20" s="62" t="s">
        <v>70</v>
      </c>
      <c r="T20" s="238">
        <f t="shared" si="18"/>
      </c>
      <c r="U20" s="189" t="str">
        <f aca="true" t="shared" si="36" ref="U20:U31">Q20</f>
        <v>0</v>
      </c>
      <c r="V20" s="239" t="str">
        <f aca="true" t="shared" si="37" ref="V20:V31">R20</f>
        <v>0</v>
      </c>
      <c r="W20" s="82">
        <v>12</v>
      </c>
      <c r="X20" s="78">
        <v>449</v>
      </c>
      <c r="Y20" s="79">
        <f t="shared" si="5"/>
        <v>2068.6589916666667</v>
      </c>
      <c r="Z20" s="83">
        <f t="shared" si="6"/>
        <v>2546.7300173563162</v>
      </c>
      <c r="AA20" s="283">
        <f t="shared" si="7"/>
        <v>-478.07102568964956</v>
      </c>
      <c r="AC20" s="89">
        <f aca="true" t="shared" si="38" ref="AC20:AC25">IF($T20="","","anc acquise")</f>
      </c>
      <c r="AD20" s="274">
        <f aca="true" t="shared" si="39" ref="AD20:AD31">IF(B20="","","2ème")</f>
      </c>
      <c r="AE20" s="291">
        <f>IF($T20="","","11")</f>
      </c>
      <c r="AF20" s="74">
        <f>IF($T20="","",(IF(AE20="13","515",(IF(AE20="12","491",(IF(AE20="11","468",(IF(AE20="10","445","ano")))))))))</f>
      </c>
      <c r="AG20" s="75">
        <f t="shared" si="9"/>
      </c>
      <c r="AH20" s="80">
        <f t="shared" si="21"/>
      </c>
      <c r="AI20" s="85">
        <f t="shared" si="10"/>
      </c>
      <c r="AJ20" s="85">
        <f t="shared" si="11"/>
      </c>
      <c r="AK20" s="76">
        <f>IF($T20="","",((date_réforme)+(an*4)-AR20))</f>
      </c>
      <c r="AL20" s="297">
        <f aca="true" t="shared" si="40" ref="AL20:AL31">IF($AE20="","",AE20+1)</f>
      </c>
      <c r="AM20" s="78">
        <f>IF($T20="","",(IF(AL20=13,"515",(IF(AL20=12,"491",(IF(AL20="11","468",(IF(AL20="10","445","ano")))))))))</f>
      </c>
      <c r="AN20" s="79">
        <f t="shared" si="12"/>
      </c>
      <c r="AO20" s="81">
        <f t="shared" si="22"/>
      </c>
      <c r="AP20" s="89">
        <f aca="true" t="shared" si="41" ref="AP20:AP25">IF($T20="","",(date_réforme-T20))</f>
      </c>
      <c r="AQ20" s="5">
        <f t="shared" si="13"/>
        <v>0</v>
      </c>
      <c r="AR20" s="5">
        <f t="shared" si="14"/>
        <v>0</v>
      </c>
    </row>
    <row r="21" spans="1:44" s="1" customFormat="1" ht="30" customHeight="1">
      <c r="A21" s="268" t="s">
        <v>5</v>
      </c>
      <c r="B21" s="63"/>
      <c r="C21" s="184"/>
      <c r="D21" s="68"/>
      <c r="E21" s="303">
        <f t="shared" si="33"/>
      </c>
      <c r="F21" s="281">
        <v>11</v>
      </c>
      <c r="G21" s="78">
        <v>418</v>
      </c>
      <c r="H21" s="79">
        <f t="shared" si="23"/>
        <v>1925.8339833333332</v>
      </c>
      <c r="I21" s="347">
        <f t="shared" si="34"/>
      </c>
      <c r="J21" s="364">
        <f t="shared" si="31"/>
      </c>
      <c r="K21" s="365">
        <f t="shared" si="32"/>
      </c>
      <c r="L21" s="366">
        <f>IF($B21="","","11")</f>
      </c>
      <c r="M21" s="366">
        <f>IF($B21="","",(IF(L21="13","473",(IF(L21="12","449",(IF(L21="11","428",(IF(L21="10","412","ano")))))))))</f>
      </c>
      <c r="N21" s="367">
        <f t="shared" si="26"/>
      </c>
      <c r="O21" s="368">
        <f t="shared" si="3"/>
      </c>
      <c r="P21" s="199">
        <f t="shared" si="4"/>
      </c>
      <c r="Q21" s="190" t="str">
        <f t="shared" si="35"/>
        <v>0</v>
      </c>
      <c r="R21" s="206" t="str">
        <f t="shared" si="35"/>
        <v>0</v>
      </c>
      <c r="S21" s="62" t="s">
        <v>70</v>
      </c>
      <c r="T21" s="238">
        <f t="shared" si="18"/>
      </c>
      <c r="U21" s="190" t="str">
        <f t="shared" si="36"/>
        <v>0</v>
      </c>
      <c r="V21" s="240" t="str">
        <f t="shared" si="37"/>
        <v>0</v>
      </c>
      <c r="W21" s="82">
        <v>11</v>
      </c>
      <c r="X21" s="78">
        <v>428</v>
      </c>
      <c r="Y21" s="79">
        <f t="shared" si="5"/>
        <v>1971.9065666666665</v>
      </c>
      <c r="Z21" s="83">
        <f t="shared" si="6"/>
        <v>2427.617923003348</v>
      </c>
      <c r="AA21" s="283">
        <f t="shared" si="7"/>
        <v>-455.71135633668155</v>
      </c>
      <c r="AC21" s="89">
        <f t="shared" si="38"/>
      </c>
      <c r="AD21" s="274">
        <f t="shared" si="39"/>
      </c>
      <c r="AE21" s="291">
        <f>IF($T21="","","10")</f>
      </c>
      <c r="AF21" s="74">
        <f>IF($T21="","",(IF(AE21="13","515",(IF(AE21="12","491",(IF(AE21="11","468",(IF(AE21="10","445","ano")))))))))</f>
      </c>
      <c r="AG21" s="75">
        <f t="shared" si="9"/>
      </c>
      <c r="AH21" s="80">
        <f t="shared" si="21"/>
      </c>
      <c r="AI21" s="85">
        <f t="shared" si="10"/>
      </c>
      <c r="AJ21" s="85">
        <f t="shared" si="11"/>
      </c>
      <c r="AK21" s="76">
        <f aca="true" t="shared" si="42" ref="AK21:AK26">IF($T21="","",((date_réforme)+(an*3)-AR21))</f>
      </c>
      <c r="AL21" s="297">
        <f t="shared" si="40"/>
      </c>
      <c r="AM21" s="78">
        <f>IF($T21="","",(IF(AL21=13,"515",(IF(AL21=12,"491",(IF(AL21=11,"468",(IF(AL21="10","445","ano")))))))))</f>
      </c>
      <c r="AN21" s="79">
        <f t="shared" si="12"/>
      </c>
      <c r="AO21" s="81">
        <f t="shared" si="22"/>
      </c>
      <c r="AP21" s="89">
        <f t="shared" si="41"/>
      </c>
      <c r="AQ21" s="5">
        <f t="shared" si="13"/>
        <v>0</v>
      </c>
      <c r="AR21" s="5">
        <f t="shared" si="14"/>
        <v>0</v>
      </c>
    </row>
    <row r="22" spans="1:44" s="1" customFormat="1" ht="30" customHeight="1">
      <c r="A22" s="268" t="s">
        <v>5</v>
      </c>
      <c r="B22" s="63"/>
      <c r="C22" s="184"/>
      <c r="D22" s="68"/>
      <c r="E22" s="303">
        <f t="shared" si="33"/>
      </c>
      <c r="F22" s="281">
        <v>10</v>
      </c>
      <c r="G22" s="78">
        <v>395</v>
      </c>
      <c r="H22" s="79">
        <f t="shared" si="23"/>
        <v>1819.8670416666666</v>
      </c>
      <c r="I22" s="347">
        <f t="shared" si="34"/>
      </c>
      <c r="J22" s="364">
        <f t="shared" si="31"/>
      </c>
      <c r="K22" s="365">
        <f t="shared" si="32"/>
      </c>
      <c r="L22" s="366">
        <f>IF($B22="","","10")</f>
      </c>
      <c r="M22" s="366">
        <f>IF($B22="","",(IF(L22="13","473",(IF(L22="12","449",(IF(L22="11","428",(IF(L22="10","412","ano")))))))))</f>
      </c>
      <c r="N22" s="367">
        <f t="shared" si="26"/>
      </c>
      <c r="O22" s="368">
        <f t="shared" si="3"/>
      </c>
      <c r="P22" s="199">
        <f t="shared" si="4"/>
      </c>
      <c r="Q22" s="190" t="str">
        <f t="shared" si="35"/>
        <v>0</v>
      </c>
      <c r="R22" s="206" t="str">
        <f t="shared" si="35"/>
        <v>0</v>
      </c>
      <c r="S22" s="62" t="s">
        <v>70</v>
      </c>
      <c r="T22" s="238">
        <f t="shared" si="18"/>
      </c>
      <c r="U22" s="190" t="str">
        <f t="shared" si="36"/>
        <v>0</v>
      </c>
      <c r="V22" s="240" t="str">
        <f t="shared" si="37"/>
        <v>0</v>
      </c>
      <c r="W22" s="82">
        <v>10</v>
      </c>
      <c r="X22" s="78">
        <v>412</v>
      </c>
      <c r="Y22" s="79">
        <f t="shared" si="5"/>
        <v>1898.1904333333332</v>
      </c>
      <c r="Z22" s="83">
        <f t="shared" si="6"/>
        <v>2336.8658511153726</v>
      </c>
      <c r="AA22" s="283">
        <f t="shared" si="7"/>
        <v>-438.6754177820394</v>
      </c>
      <c r="AC22" s="89">
        <f t="shared" si="38"/>
      </c>
      <c r="AD22" s="274">
        <f t="shared" si="39"/>
      </c>
      <c r="AE22" s="291">
        <f>IF($T22="","","9")</f>
      </c>
      <c r="AF22" s="74">
        <f>IF($T22="","",(IF(AE22="9","425",(IF(AE22="8","405",(IF(AE22="7","390",(IF(AE22="6","375","ano")))))))))</f>
      </c>
      <c r="AG22" s="75">
        <f t="shared" si="9"/>
      </c>
      <c r="AH22" s="80">
        <f t="shared" si="21"/>
      </c>
      <c r="AI22" s="85">
        <f t="shared" si="10"/>
      </c>
      <c r="AJ22" s="85">
        <f t="shared" si="11"/>
      </c>
      <c r="AK22" s="76">
        <f t="shared" si="42"/>
      </c>
      <c r="AL22" s="297">
        <f t="shared" si="40"/>
      </c>
      <c r="AM22" s="78">
        <f>IF($T22="","",(IF(AL22=13,"515",(IF(AL22=12,"491",(IF(AL22=11,"468",(IF(AL22=10,"445","ano")))))))))</f>
      </c>
      <c r="AN22" s="79">
        <f t="shared" si="12"/>
      </c>
      <c r="AO22" s="81">
        <f t="shared" si="22"/>
      </c>
      <c r="AP22" s="89">
        <f t="shared" si="41"/>
      </c>
      <c r="AQ22" s="5">
        <f t="shared" si="13"/>
        <v>0</v>
      </c>
      <c r="AR22" s="5">
        <f t="shared" si="14"/>
        <v>0</v>
      </c>
    </row>
    <row r="23" spans="1:44" s="1" customFormat="1" ht="30" customHeight="1">
      <c r="A23" s="268" t="s">
        <v>5</v>
      </c>
      <c r="B23" s="63"/>
      <c r="C23" s="184"/>
      <c r="D23" s="68"/>
      <c r="E23" s="303">
        <f t="shared" si="33"/>
      </c>
      <c r="F23" s="281">
        <v>9</v>
      </c>
      <c r="G23" s="78">
        <v>384</v>
      </c>
      <c r="H23" s="79">
        <f t="shared" si="23"/>
        <v>1769.1871999999998</v>
      </c>
      <c r="I23" s="347">
        <f t="shared" si="34"/>
      </c>
      <c r="J23" s="364">
        <f t="shared" si="31"/>
      </c>
      <c r="K23" s="365">
        <f t="shared" si="32"/>
      </c>
      <c r="L23" s="366">
        <f>IF($B23="","","9")</f>
      </c>
      <c r="M23" s="366">
        <f>IF($B23="","",(IF(L23="9","395",(IF(L23="8","381",(IF(L23="7","369",(IF(L23="6","360","ano")))))))))</f>
      </c>
      <c r="N23" s="367">
        <f t="shared" si="26"/>
      </c>
      <c r="O23" s="368">
        <f t="shared" si="3"/>
      </c>
      <c r="P23" s="199">
        <f t="shared" si="4"/>
      </c>
      <c r="Q23" s="190" t="str">
        <f t="shared" si="35"/>
        <v>0</v>
      </c>
      <c r="R23" s="206" t="str">
        <f t="shared" si="35"/>
        <v>0</v>
      </c>
      <c r="S23" s="62" t="s">
        <v>70</v>
      </c>
      <c r="T23" s="238">
        <f t="shared" si="18"/>
      </c>
      <c r="U23" s="190" t="str">
        <f t="shared" si="36"/>
        <v>0</v>
      </c>
      <c r="V23" s="240" t="str">
        <f t="shared" si="37"/>
        <v>0</v>
      </c>
      <c r="W23" s="82">
        <v>9</v>
      </c>
      <c r="X23" s="78">
        <v>395</v>
      </c>
      <c r="Y23" s="79">
        <f t="shared" si="5"/>
        <v>1819.8670416666666</v>
      </c>
      <c r="Z23" s="83">
        <f t="shared" si="6"/>
        <v>2240.441774734398</v>
      </c>
      <c r="AA23" s="283">
        <f t="shared" si="7"/>
        <v>-420.5747330677316</v>
      </c>
      <c r="AC23" s="89">
        <f t="shared" si="38"/>
      </c>
      <c r="AD23" s="274">
        <f t="shared" si="39"/>
      </c>
      <c r="AE23" s="291">
        <f>IF($T23="","","8")</f>
      </c>
      <c r="AF23" s="74">
        <f>IF($T23="","",(IF(AE23="9","425",(IF(AE23="8","405",(IF(AE23="7","390",(IF(AE23="6","375","ano")))))))))</f>
      </c>
      <c r="AG23" s="75">
        <f t="shared" si="9"/>
      </c>
      <c r="AH23" s="80">
        <f t="shared" si="21"/>
      </c>
      <c r="AI23" s="85">
        <f t="shared" si="10"/>
      </c>
      <c r="AJ23" s="85">
        <f t="shared" si="11"/>
      </c>
      <c r="AK23" s="76">
        <f t="shared" si="42"/>
      </c>
      <c r="AL23" s="297">
        <f t="shared" si="40"/>
      </c>
      <c r="AM23" s="78">
        <f>IF($T23="","",(IF(AL23=9,"425",(IF(AL23=8,"405",(IF(AL23=7,"390",(IF(AL23=6,"375","ano")))))))))</f>
      </c>
      <c r="AN23" s="79">
        <f t="shared" si="12"/>
      </c>
      <c r="AO23" s="81">
        <f t="shared" si="22"/>
      </c>
      <c r="AP23" s="89">
        <f t="shared" si="41"/>
      </c>
      <c r="AQ23" s="5">
        <f t="shared" si="13"/>
        <v>0</v>
      </c>
      <c r="AR23" s="5">
        <f t="shared" si="14"/>
        <v>0</v>
      </c>
    </row>
    <row r="24" spans="1:44" s="1" customFormat="1" ht="30" customHeight="1">
      <c r="A24" s="268" t="s">
        <v>5</v>
      </c>
      <c r="B24" s="63"/>
      <c r="C24" s="184"/>
      <c r="D24" s="68"/>
      <c r="E24" s="303">
        <f t="shared" si="33"/>
      </c>
      <c r="F24" s="281">
        <v>8</v>
      </c>
      <c r="G24" s="78">
        <v>370</v>
      </c>
      <c r="H24" s="79">
        <f t="shared" si="23"/>
        <v>1704.6855833333334</v>
      </c>
      <c r="I24" s="347">
        <f t="shared" si="34"/>
      </c>
      <c r="J24" s="364">
        <f t="shared" si="31"/>
      </c>
      <c r="K24" s="365">
        <f t="shared" si="32"/>
      </c>
      <c r="L24" s="366">
        <f>IF($B24="","","8")</f>
      </c>
      <c r="M24" s="366">
        <f>IF($B24="","",(IF(L24="9","395",(IF(L24="8","381",(IF(L24="7","369",(IF(L24="6","360","ano")))))))))</f>
      </c>
      <c r="N24" s="367">
        <f t="shared" si="26"/>
      </c>
      <c r="O24" s="368">
        <f t="shared" si="3"/>
      </c>
      <c r="P24" s="199">
        <f t="shared" si="4"/>
      </c>
      <c r="Q24" s="190" t="str">
        <f t="shared" si="35"/>
        <v>0</v>
      </c>
      <c r="R24" s="206" t="str">
        <f t="shared" si="35"/>
        <v>0</v>
      </c>
      <c r="S24" s="62" t="s">
        <v>70</v>
      </c>
      <c r="T24" s="238">
        <f t="shared" si="18"/>
      </c>
      <c r="U24" s="190" t="str">
        <f t="shared" si="36"/>
        <v>0</v>
      </c>
      <c r="V24" s="240" t="str">
        <f t="shared" si="37"/>
        <v>0</v>
      </c>
      <c r="W24" s="82">
        <v>8</v>
      </c>
      <c r="X24" s="78">
        <v>381</v>
      </c>
      <c r="Y24" s="79">
        <f t="shared" si="5"/>
        <v>1755.365425</v>
      </c>
      <c r="Z24" s="83">
        <f t="shared" si="6"/>
        <v>2161.0337118324196</v>
      </c>
      <c r="AA24" s="283">
        <f t="shared" si="7"/>
        <v>-405.66828683241965</v>
      </c>
      <c r="AC24" s="89">
        <f t="shared" si="38"/>
      </c>
      <c r="AD24" s="274">
        <f t="shared" si="39"/>
      </c>
      <c r="AE24" s="291">
        <f>IF($T24="","","7")</f>
      </c>
      <c r="AF24" s="74">
        <f>IF($T24="","",(IF(AE24="9","425",(IF(AE24="8","405",(IF(AE24="7","390",(IF(AE24="6","375","ano")))))))))</f>
      </c>
      <c r="AG24" s="75">
        <f t="shared" si="9"/>
      </c>
      <c r="AH24" s="80">
        <f t="shared" si="21"/>
      </c>
      <c r="AI24" s="85">
        <f t="shared" si="10"/>
      </c>
      <c r="AJ24" s="85">
        <f t="shared" si="11"/>
      </c>
      <c r="AK24" s="76">
        <f t="shared" si="42"/>
      </c>
      <c r="AL24" s="297">
        <f t="shared" si="40"/>
      </c>
      <c r="AM24" s="78">
        <f>IF($T24="","",(IF(AL24=9,"425",(IF(AL24=8,"405",(IF(AL24=7,"390",(IF(AL24=6,"375","ano")))))))))</f>
      </c>
      <c r="AN24" s="79">
        <f t="shared" si="12"/>
      </c>
      <c r="AO24" s="81">
        <f t="shared" si="22"/>
      </c>
      <c r="AP24" s="89">
        <f t="shared" si="41"/>
      </c>
      <c r="AQ24" s="5">
        <f t="shared" si="13"/>
        <v>0</v>
      </c>
      <c r="AR24" s="5">
        <f t="shared" si="14"/>
        <v>0</v>
      </c>
    </row>
    <row r="25" spans="1:44" s="1" customFormat="1" ht="30" customHeight="1">
      <c r="A25" s="268" t="s">
        <v>5</v>
      </c>
      <c r="B25" s="63"/>
      <c r="C25" s="184"/>
      <c r="D25" s="68"/>
      <c r="E25" s="303">
        <f t="shared" si="33"/>
      </c>
      <c r="F25" s="281">
        <v>7</v>
      </c>
      <c r="G25" s="78">
        <v>362</v>
      </c>
      <c r="H25" s="79">
        <f t="shared" si="23"/>
        <v>1667.8275166666667</v>
      </c>
      <c r="I25" s="347">
        <f t="shared" si="34"/>
      </c>
      <c r="J25" s="364">
        <f t="shared" si="31"/>
      </c>
      <c r="K25" s="365">
        <f t="shared" si="32"/>
      </c>
      <c r="L25" s="366">
        <f>IF($B25="","","7")</f>
      </c>
      <c r="M25" s="366">
        <f>IF($B25="","",(IF(L25="9","395",(IF(L25="8","381",(IF(L25="7","369",(IF(L25="6","360","ano")))))))))</f>
      </c>
      <c r="N25" s="367">
        <f t="shared" si="26"/>
      </c>
      <c r="O25" s="368">
        <f t="shared" si="3"/>
      </c>
      <c r="P25" s="199">
        <f t="shared" si="4"/>
      </c>
      <c r="Q25" s="190" t="str">
        <f t="shared" si="35"/>
        <v>0</v>
      </c>
      <c r="R25" s="206" t="str">
        <f t="shared" si="35"/>
        <v>0</v>
      </c>
      <c r="S25" s="62" t="s">
        <v>70</v>
      </c>
      <c r="T25" s="238">
        <f t="shared" si="18"/>
      </c>
      <c r="U25" s="190" t="str">
        <f t="shared" si="36"/>
        <v>0</v>
      </c>
      <c r="V25" s="240" t="str">
        <f t="shared" si="37"/>
        <v>0</v>
      </c>
      <c r="W25" s="82">
        <v>7</v>
      </c>
      <c r="X25" s="78">
        <v>369</v>
      </c>
      <c r="Y25" s="79">
        <f t="shared" si="5"/>
        <v>1700.078325</v>
      </c>
      <c r="Z25" s="83">
        <f t="shared" si="6"/>
        <v>2092.969657916438</v>
      </c>
      <c r="AA25" s="283">
        <f t="shared" si="7"/>
        <v>-392.89133291643793</v>
      </c>
      <c r="AC25" s="89">
        <f t="shared" si="38"/>
      </c>
      <c r="AD25" s="274">
        <f t="shared" si="39"/>
      </c>
      <c r="AE25" s="291">
        <f>IF($T25="","","6")</f>
      </c>
      <c r="AF25" s="74">
        <f>IF($T25="","",(IF(AE25="9","425",(IF(AE25="8","405",(IF(AE25="7","390",(IF(AE25="6","375","ano")))))))))</f>
      </c>
      <c r="AG25" s="75">
        <f t="shared" si="9"/>
      </c>
      <c r="AH25" s="80">
        <f t="shared" si="21"/>
      </c>
      <c r="AI25" s="85">
        <f t="shared" si="10"/>
      </c>
      <c r="AJ25" s="85">
        <f t="shared" si="11"/>
      </c>
      <c r="AK25" s="76">
        <f t="shared" si="42"/>
      </c>
      <c r="AL25" s="297">
        <f t="shared" si="40"/>
      </c>
      <c r="AM25" s="78">
        <f>IF($T25="","",(IF(AL25=9,"425",(IF(AL25=8,"405",(IF(AL25=7,"390",(IF(AL25=6,"375","ano")))))))))</f>
      </c>
      <c r="AN25" s="79">
        <f t="shared" si="12"/>
      </c>
      <c r="AO25" s="81">
        <f t="shared" si="22"/>
      </c>
      <c r="AP25" s="89">
        <f t="shared" si="41"/>
      </c>
      <c r="AQ25" s="5">
        <f t="shared" si="13"/>
        <v>0</v>
      </c>
      <c r="AR25" s="5">
        <f t="shared" si="14"/>
        <v>0</v>
      </c>
    </row>
    <row r="26" spans="1:44" s="1" customFormat="1" ht="30" customHeight="1">
      <c r="A26" s="268" t="s">
        <v>5</v>
      </c>
      <c r="B26" s="63"/>
      <c r="C26" s="184"/>
      <c r="D26" s="68"/>
      <c r="E26" s="303">
        <f t="shared" si="33"/>
      </c>
      <c r="F26" s="281">
        <v>6</v>
      </c>
      <c r="G26" s="78">
        <v>352</v>
      </c>
      <c r="H26" s="79">
        <f t="shared" si="23"/>
        <v>1621.7549333333334</v>
      </c>
      <c r="I26" s="347">
        <f t="shared" si="34"/>
      </c>
      <c r="J26" s="364">
        <f t="shared" si="31"/>
      </c>
      <c r="K26" s="365">
        <f t="shared" si="32"/>
      </c>
      <c r="L26" s="366">
        <f>IF($B26="","","6")</f>
      </c>
      <c r="M26" s="366">
        <f>IF($B26="","",(IF(L26="9","395",(IF(L26="8","381",(IF(L26="7","369",(IF(L26="6","360","ano")))))))))</f>
      </c>
      <c r="N26" s="367">
        <f t="shared" si="26"/>
      </c>
      <c r="O26" s="368">
        <f t="shared" si="3"/>
      </c>
      <c r="P26" s="199">
        <f t="shared" si="4"/>
      </c>
      <c r="Q26" s="190" t="str">
        <f t="shared" si="35"/>
        <v>0</v>
      </c>
      <c r="R26" s="206" t="str">
        <f t="shared" si="35"/>
        <v>0</v>
      </c>
      <c r="S26" s="62" t="s">
        <v>70</v>
      </c>
      <c r="T26" s="238">
        <f t="shared" si="18"/>
      </c>
      <c r="U26" s="190" t="str">
        <f t="shared" si="36"/>
        <v>0</v>
      </c>
      <c r="V26" s="240" t="str">
        <f t="shared" si="37"/>
        <v>0</v>
      </c>
      <c r="W26" s="82">
        <v>6</v>
      </c>
      <c r="X26" s="78">
        <v>360</v>
      </c>
      <c r="Y26" s="79">
        <f t="shared" si="5"/>
        <v>1658.613</v>
      </c>
      <c r="Z26" s="83">
        <f t="shared" si="6"/>
        <v>2041.9216174794517</v>
      </c>
      <c r="AA26" s="283">
        <f t="shared" si="7"/>
        <v>-383.30861747945164</v>
      </c>
      <c r="AC26" s="89">
        <f>IF($T26="","","anc acquise + 1 an")</f>
      </c>
      <c r="AD26" s="274">
        <f t="shared" si="39"/>
      </c>
      <c r="AE26" s="291">
        <f>IF($T26="","","5")</f>
      </c>
      <c r="AF26" s="74">
        <f aca="true" t="shared" si="43" ref="AF26:AF31">IF($T26="","",(IF(AE26="5","361",(IF(AE26="4","348",(IF(AE26="3","340",(IF(AE26="2","332",(IF(AE26="1","327","ano")))))))))))</f>
      </c>
      <c r="AG26" s="75">
        <f t="shared" si="9"/>
      </c>
      <c r="AH26" s="80">
        <f t="shared" si="21"/>
      </c>
      <c r="AI26" s="85">
        <f t="shared" si="10"/>
      </c>
      <c r="AJ26" s="85">
        <f t="shared" si="11"/>
      </c>
      <c r="AK26" s="76">
        <f t="shared" si="42"/>
      </c>
      <c r="AL26" s="297">
        <f t="shared" si="40"/>
      </c>
      <c r="AM26" s="78">
        <f>IF($T26="","",(IF(AL26=9,"425",(IF(AL26=8,"405",(IF(AL26=7,"390",(IF(AL26=6,"375","ano")))))))))</f>
      </c>
      <c r="AN26" s="79">
        <f t="shared" si="12"/>
      </c>
      <c r="AO26" s="81">
        <f t="shared" si="22"/>
      </c>
      <c r="AP26" s="89">
        <f>IF($T26="","",(date_réforme-T26+an))</f>
      </c>
      <c r="AQ26" s="5">
        <f t="shared" si="13"/>
        <v>0</v>
      </c>
      <c r="AR26" s="5">
        <f t="shared" si="14"/>
        <v>0</v>
      </c>
    </row>
    <row r="27" spans="1:44" s="1" customFormat="1" ht="30" customHeight="1">
      <c r="A27" s="268" t="s">
        <v>5</v>
      </c>
      <c r="B27" s="63"/>
      <c r="C27" s="184"/>
      <c r="D27" s="68"/>
      <c r="E27" s="303">
        <f t="shared" si="33"/>
      </c>
      <c r="F27" s="281">
        <v>5</v>
      </c>
      <c r="G27" s="78">
        <v>339</v>
      </c>
      <c r="H27" s="79">
        <f t="shared" si="23"/>
        <v>1561.860575</v>
      </c>
      <c r="I27" s="347">
        <f t="shared" si="34"/>
      </c>
      <c r="J27" s="364">
        <f t="shared" si="31"/>
      </c>
      <c r="K27" s="365">
        <f t="shared" si="32"/>
      </c>
      <c r="L27" s="366">
        <f>IF($B27="","","5")</f>
      </c>
      <c r="M27" s="366">
        <f>IF($B27="","",(IF(L27="5","350",(IF(L27="4","336",(IF(L27="3","325",(IF(L27="2","318","ano")))))))))</f>
      </c>
      <c r="N27" s="367">
        <f t="shared" si="26"/>
      </c>
      <c r="O27" s="368">
        <f t="shared" si="3"/>
      </c>
      <c r="P27" s="199">
        <f t="shared" si="4"/>
      </c>
      <c r="Q27" s="190" t="str">
        <f t="shared" si="35"/>
        <v>0</v>
      </c>
      <c r="R27" s="206" t="str">
        <f t="shared" si="35"/>
        <v>0</v>
      </c>
      <c r="S27" s="62" t="s">
        <v>70</v>
      </c>
      <c r="T27" s="238">
        <f t="shared" si="18"/>
      </c>
      <c r="U27" s="190" t="str">
        <f t="shared" si="36"/>
        <v>0</v>
      </c>
      <c r="V27" s="240" t="str">
        <f t="shared" si="37"/>
        <v>0</v>
      </c>
      <c r="W27" s="82">
        <v>5</v>
      </c>
      <c r="X27" s="78">
        <v>350</v>
      </c>
      <c r="Y27" s="79">
        <f t="shared" si="5"/>
        <v>1612.5404166666667</v>
      </c>
      <c r="Z27" s="83">
        <f t="shared" si="6"/>
        <v>1985.2015725494668</v>
      </c>
      <c r="AA27" s="283">
        <f t="shared" si="7"/>
        <v>-372.66115588280013</v>
      </c>
      <c r="AB27" s="1">
        <f>IF($T27="","",(IF((date_réforme-$T27)&gt;(an-1),"1 an dans échelon","pas 1 an dans échelon")))</f>
      </c>
      <c r="AC27" s="89">
        <f>IF($T27="","",(IF((date_réforme-$T27)&gt;(an-1),"anc acquise au-delà de 1 an","1/2 de l'anc acquise")))</f>
      </c>
      <c r="AD27" s="274">
        <f t="shared" si="39"/>
      </c>
      <c r="AE27" s="291">
        <f>IF($T27="","","5")</f>
      </c>
      <c r="AF27" s="74">
        <f t="shared" si="43"/>
      </c>
      <c r="AG27" s="75">
        <f t="shared" si="9"/>
      </c>
      <c r="AH27" s="80">
        <f t="shared" si="21"/>
      </c>
      <c r="AI27" s="85">
        <f t="shared" si="10"/>
      </c>
      <c r="AJ27" s="85">
        <f t="shared" si="11"/>
      </c>
      <c r="AK27" s="76">
        <f>IF($T27="","",(IF((date_réforme-$T27)&gt;(an-1),(date_réforme)+(an*3)-AR27,(date_réforme)+(an*3)-AR27)))</f>
      </c>
      <c r="AL27" s="297">
        <f t="shared" si="40"/>
      </c>
      <c r="AM27" s="78">
        <f>IF($T27="","",(IF(AL27=9,"425",(IF(AL27=8,"405",(IF(AL27=7,"390",(IF(AL27=6,"375","ano")))))))))</f>
      </c>
      <c r="AN27" s="79">
        <f t="shared" si="12"/>
      </c>
      <c r="AO27" s="81">
        <f t="shared" si="22"/>
      </c>
      <c r="AP27" s="1">
        <f>IF($T27="","",(IF((date_réforme-$T27)&gt;(an-1),(date_réforme-T27-an),(date_réforme-T27)/2)))</f>
      </c>
      <c r="AQ27" s="5">
        <f t="shared" si="13"/>
        <v>0</v>
      </c>
      <c r="AR27" s="5">
        <f t="shared" si="14"/>
        <v>0</v>
      </c>
    </row>
    <row r="28" spans="1:44" s="1" customFormat="1" ht="30" customHeight="1">
      <c r="A28" s="268" t="s">
        <v>5</v>
      </c>
      <c r="B28" s="63"/>
      <c r="C28" s="184"/>
      <c r="D28" s="68"/>
      <c r="E28" s="303">
        <f t="shared" si="33"/>
      </c>
      <c r="F28" s="281">
        <v>4</v>
      </c>
      <c r="G28" s="78">
        <v>325</v>
      </c>
      <c r="H28" s="79">
        <f t="shared" si="23"/>
        <v>1497.3589583333332</v>
      </c>
      <c r="I28" s="347">
        <f t="shared" si="34"/>
      </c>
      <c r="J28" s="364">
        <f t="shared" si="31"/>
      </c>
      <c r="K28" s="365">
        <f t="shared" si="32"/>
      </c>
      <c r="L28" s="366">
        <f>IF($B28="","","4")</f>
      </c>
      <c r="M28" s="366">
        <f>IF($B28="","",(IF(L28="5","350",(IF(L28="4","336",(IF(L28="3","325",(IF(L28="2","318","ano")))))))))</f>
      </c>
      <c r="N28" s="367">
        <f t="shared" si="26"/>
      </c>
      <c r="O28" s="368">
        <f t="shared" si="3"/>
      </c>
      <c r="P28" s="199">
        <f t="shared" si="4"/>
      </c>
      <c r="Q28" s="190" t="str">
        <f t="shared" si="35"/>
        <v>0</v>
      </c>
      <c r="R28" s="206" t="str">
        <f t="shared" si="35"/>
        <v>0</v>
      </c>
      <c r="S28" s="62" t="s">
        <v>70</v>
      </c>
      <c r="T28" s="238">
        <f t="shared" si="18"/>
      </c>
      <c r="U28" s="190" t="str">
        <f t="shared" si="36"/>
        <v>0</v>
      </c>
      <c r="V28" s="240" t="str">
        <f t="shared" si="37"/>
        <v>0</v>
      </c>
      <c r="W28" s="82">
        <v>4</v>
      </c>
      <c r="X28" s="78">
        <v>336</v>
      </c>
      <c r="Y28" s="79">
        <f t="shared" si="5"/>
        <v>1548.0388</v>
      </c>
      <c r="Z28" s="83">
        <f t="shared" si="6"/>
        <v>1905.7935096474882</v>
      </c>
      <c r="AA28" s="283">
        <f t="shared" si="7"/>
        <v>-357.7547096474882</v>
      </c>
      <c r="AC28" s="89">
        <f>IF($T28="","","4/3 de l'anc acquise")</f>
      </c>
      <c r="AD28" s="274">
        <f t="shared" si="39"/>
      </c>
      <c r="AE28" s="291">
        <f>IF($T28="","","4")</f>
      </c>
      <c r="AF28" s="74">
        <f t="shared" si="43"/>
      </c>
      <c r="AG28" s="75">
        <f t="shared" si="9"/>
      </c>
      <c r="AH28" s="80">
        <f t="shared" si="21"/>
      </c>
      <c r="AI28" s="85">
        <f t="shared" si="10"/>
      </c>
      <c r="AJ28" s="85">
        <f t="shared" si="11"/>
      </c>
      <c r="AK28" s="76">
        <f>IF($T28="","",((date_réforme)+(an*2)-AR28))</f>
      </c>
      <c r="AL28" s="297">
        <f t="shared" si="40"/>
      </c>
      <c r="AM28" s="78">
        <f>IF($T28="","",(IF(AL28=5,"361",(IF(AL28=4,"348",(IF(AL28=3,"340",(IF(AL28=2,"332","ano")))))))))</f>
      </c>
      <c r="AN28" s="79">
        <f t="shared" si="12"/>
      </c>
      <c r="AO28" s="81">
        <f t="shared" si="22"/>
      </c>
      <c r="AP28" s="1">
        <f>IF($T28="","",(date_réforme-T28)*4/3)</f>
      </c>
      <c r="AQ28" s="5">
        <f t="shared" si="13"/>
        <v>0</v>
      </c>
      <c r="AR28" s="5">
        <f t="shared" si="14"/>
        <v>0</v>
      </c>
    </row>
    <row r="29" spans="1:44" s="1" customFormat="1" ht="30" customHeight="1">
      <c r="A29" s="268" t="s">
        <v>5</v>
      </c>
      <c r="B29" s="63"/>
      <c r="C29" s="184"/>
      <c r="D29" s="68"/>
      <c r="E29" s="303">
        <f t="shared" si="33"/>
      </c>
      <c r="F29" s="281">
        <v>3</v>
      </c>
      <c r="G29" s="78">
        <v>319</v>
      </c>
      <c r="H29" s="79">
        <f t="shared" si="23"/>
        <v>1469.7154083333332</v>
      </c>
      <c r="I29" s="347">
        <f t="shared" si="34"/>
      </c>
      <c r="J29" s="364">
        <f t="shared" si="31"/>
      </c>
      <c r="K29" s="365">
        <f t="shared" si="32"/>
      </c>
      <c r="L29" s="366">
        <f>IF($B29="","","3")</f>
      </c>
      <c r="M29" s="366">
        <f>IF($B29="","",(IF(L29="5","350",(IF(L29="4","336",(IF(L29="3","325",(IF(L29="2","318","ano")))))))))</f>
      </c>
      <c r="N29" s="367">
        <f t="shared" si="26"/>
      </c>
      <c r="O29" s="368">
        <f t="shared" si="3"/>
      </c>
      <c r="P29" s="199">
        <f t="shared" si="4"/>
      </c>
      <c r="Q29" s="190" t="str">
        <f t="shared" si="35"/>
        <v>0</v>
      </c>
      <c r="R29" s="206" t="str">
        <f t="shared" si="35"/>
        <v>0</v>
      </c>
      <c r="S29" s="62" t="s">
        <v>70</v>
      </c>
      <c r="T29" s="238">
        <f t="shared" si="18"/>
      </c>
      <c r="U29" s="190" t="str">
        <f t="shared" si="36"/>
        <v>0</v>
      </c>
      <c r="V29" s="240" t="str">
        <f t="shared" si="37"/>
        <v>0</v>
      </c>
      <c r="W29" s="82">
        <v>3</v>
      </c>
      <c r="X29" s="78">
        <v>325</v>
      </c>
      <c r="Y29" s="79">
        <f t="shared" si="5"/>
        <v>1497.3589583333332</v>
      </c>
      <c r="Z29" s="83">
        <f t="shared" si="6"/>
        <v>1843.401460224505</v>
      </c>
      <c r="AA29" s="283">
        <f t="shared" si="7"/>
        <v>-346.0425018911717</v>
      </c>
      <c r="AC29" s="89">
        <f>IF($T29="","","4/3 de l'anc acquise")</f>
      </c>
      <c r="AD29" s="274">
        <f t="shared" si="39"/>
      </c>
      <c r="AE29" s="291">
        <f>IF($T29="","","3")</f>
      </c>
      <c r="AF29" s="74">
        <f t="shared" si="43"/>
      </c>
      <c r="AG29" s="75">
        <f t="shared" si="9"/>
      </c>
      <c r="AH29" s="80">
        <f t="shared" si="21"/>
      </c>
      <c r="AI29" s="85">
        <f t="shared" si="10"/>
      </c>
      <c r="AJ29" s="85">
        <f t="shared" si="11"/>
      </c>
      <c r="AK29" s="76">
        <f>IF($T29="","",((date_réforme)+(an*2)-AR29))</f>
      </c>
      <c r="AL29" s="297">
        <f t="shared" si="40"/>
      </c>
      <c r="AM29" s="78">
        <f>IF($T29="","",(IF(AL29=5,"361",(IF(AL29=4,"348",(IF(AL29=3,"340",(IF(AL29=2,"332","ano")))))))))</f>
      </c>
      <c r="AN29" s="79">
        <f t="shared" si="12"/>
      </c>
      <c r="AO29" s="81">
        <f t="shared" si="22"/>
      </c>
      <c r="AP29" s="1">
        <f>IF($T29="","",(date_réforme-T29)*4/3)</f>
      </c>
      <c r="AQ29" s="5">
        <f t="shared" si="13"/>
        <v>0</v>
      </c>
      <c r="AR29" s="5">
        <f t="shared" si="14"/>
        <v>0</v>
      </c>
    </row>
    <row r="30" spans="1:44" s="1" customFormat="1" ht="30" customHeight="1">
      <c r="A30" s="268" t="s">
        <v>5</v>
      </c>
      <c r="B30" s="63"/>
      <c r="C30" s="184"/>
      <c r="D30" s="68"/>
      <c r="E30" s="303">
        <f t="shared" si="33"/>
      </c>
      <c r="F30" s="281">
        <v>2</v>
      </c>
      <c r="G30" s="78">
        <v>303</v>
      </c>
      <c r="H30" s="79">
        <f t="shared" si="23"/>
        <v>1395.999275</v>
      </c>
      <c r="I30" s="347">
        <f t="shared" si="34"/>
      </c>
      <c r="J30" s="364">
        <f t="shared" si="31"/>
      </c>
      <c r="K30" s="365">
        <f t="shared" si="32"/>
      </c>
      <c r="L30" s="366">
        <f>IF($B30="","","2")</f>
      </c>
      <c r="M30" s="366">
        <f>IF($B30="","",(IF(L30="5","350",(IF(L30="4","336",(IF(L30="3","325",(IF(L30="2","318","ano")))))))))</f>
      </c>
      <c r="N30" s="367">
        <f t="shared" si="26"/>
      </c>
      <c r="O30" s="368">
        <f t="shared" si="3"/>
      </c>
      <c r="P30" s="199">
        <f t="shared" si="4"/>
      </c>
      <c r="Q30" s="190" t="str">
        <f t="shared" si="35"/>
        <v>0</v>
      </c>
      <c r="R30" s="206" t="str">
        <f t="shared" si="35"/>
        <v>0</v>
      </c>
      <c r="S30" s="62" t="s">
        <v>70</v>
      </c>
      <c r="T30" s="238">
        <f t="shared" si="18"/>
      </c>
      <c r="U30" s="190" t="str">
        <f t="shared" si="36"/>
        <v>0</v>
      </c>
      <c r="V30" s="240" t="str">
        <f t="shared" si="37"/>
        <v>0</v>
      </c>
      <c r="W30" s="82">
        <v>2</v>
      </c>
      <c r="X30" s="78">
        <v>318</v>
      </c>
      <c r="Y30" s="79">
        <f t="shared" si="5"/>
        <v>1465.10815</v>
      </c>
      <c r="Z30" s="83">
        <f t="shared" si="6"/>
        <v>1803.6974287735156</v>
      </c>
      <c r="AA30" s="283">
        <f t="shared" si="7"/>
        <v>-338.5892787735156</v>
      </c>
      <c r="AB30" s="1">
        <f>IF($T30="","",(IF((date_réforme-$T30)&gt;(an-1),"1 an dans échelon","pas 1 an dans échelon")))</f>
      </c>
      <c r="AC30" s="89">
        <f>IF($T30="","",(IF((date_réforme-$T30)&gt;(an-1),"4 fois l'anc acquise au-delà de 1 an","anc acquise")))</f>
      </c>
      <c r="AD30" s="274">
        <f t="shared" si="39"/>
      </c>
      <c r="AE30" s="291">
        <f>IF($T30="","",(IF((date_réforme-$T30)&gt;(an-1),"2","1")))</f>
      </c>
      <c r="AF30" s="74">
        <f t="shared" si="43"/>
      </c>
      <c r="AG30" s="75">
        <f t="shared" si="9"/>
      </c>
      <c r="AH30" s="80">
        <f t="shared" si="21"/>
      </c>
      <c r="AI30" s="85">
        <f t="shared" si="10"/>
      </c>
      <c r="AJ30" s="85">
        <f t="shared" si="11"/>
      </c>
      <c r="AK30" s="76">
        <f>IF($T30="","",(IF((date_réforme-$T30)&gt;(an-1),(date_réforme)+(an*2)-AR30,(date_réforme)+(an)-AR30)))</f>
      </c>
      <c r="AL30" s="297">
        <f t="shared" si="40"/>
      </c>
      <c r="AM30" s="78">
        <f>IF($T30="","",(IF(AL30=5,"361",(IF(AL30=4,"348",(IF(AL30=3,"340",(IF(AL30=2,"332","ano")))))))))</f>
      </c>
      <c r="AN30" s="79">
        <f t="shared" si="12"/>
      </c>
      <c r="AO30" s="81">
        <f t="shared" si="22"/>
      </c>
      <c r="AP30" s="1">
        <f>IF($T30="","",(IF((date_réforme-$T30)&gt;(an-1),((date_réforme-T30-an)*4),(date_réforme-T30))))</f>
      </c>
      <c r="AQ30" s="5">
        <f t="shared" si="13"/>
        <v>0</v>
      </c>
      <c r="AR30" s="5">
        <f t="shared" si="14"/>
        <v>0</v>
      </c>
    </row>
    <row r="31" spans="1:44" s="1" customFormat="1" ht="30" customHeight="1" thickBot="1">
      <c r="A31" s="269" t="s">
        <v>5</v>
      </c>
      <c r="B31" s="212"/>
      <c r="C31" s="186"/>
      <c r="D31" s="185"/>
      <c r="E31" s="304">
        <f t="shared" si="33"/>
      </c>
      <c r="F31" s="276">
        <v>1</v>
      </c>
      <c r="G31" s="129">
        <v>297</v>
      </c>
      <c r="H31" s="130">
        <f t="shared" si="23"/>
        <v>1368.355725</v>
      </c>
      <c r="I31" s="369">
        <f t="shared" si="34"/>
      </c>
      <c r="J31" s="370">
        <f t="shared" si="31"/>
      </c>
      <c r="K31" s="371">
        <f t="shared" si="32"/>
      </c>
      <c r="L31" s="372">
        <f>IF($B31="","","1")</f>
      </c>
      <c r="M31" s="372">
        <f>IF($B31="","",(IF(L31="5","350",(IF(L31="4","336",(IF(L31="3","325",(IF(L31="1","308","ano")))))))))</f>
      </c>
      <c r="N31" s="373">
        <f t="shared" si="26"/>
      </c>
      <c r="O31" s="374">
        <f t="shared" si="3"/>
      </c>
      <c r="P31" s="202">
        <f t="shared" si="4"/>
      </c>
      <c r="Q31" s="193" t="str">
        <f t="shared" si="35"/>
        <v>0</v>
      </c>
      <c r="R31" s="209" t="str">
        <f t="shared" si="35"/>
        <v>0</v>
      </c>
      <c r="S31" s="127" t="s">
        <v>70</v>
      </c>
      <c r="T31" s="245">
        <f t="shared" si="18"/>
      </c>
      <c r="U31" s="193" t="str">
        <f t="shared" si="36"/>
        <v>0</v>
      </c>
      <c r="V31" s="246" t="str">
        <f t="shared" si="37"/>
        <v>0</v>
      </c>
      <c r="W31" s="128">
        <v>1</v>
      </c>
      <c r="X31" s="129">
        <v>308</v>
      </c>
      <c r="Y31" s="130">
        <f t="shared" si="5"/>
        <v>1419.0355666666667</v>
      </c>
      <c r="Z31" s="131">
        <f t="shared" si="6"/>
        <v>1746.977383843531</v>
      </c>
      <c r="AA31" s="249">
        <f t="shared" si="7"/>
        <v>-327.94181717686433</v>
      </c>
      <c r="AB31" s="211"/>
      <c r="AC31" s="92">
        <f>IF($T31="","","sans ancienneté")</f>
      </c>
      <c r="AD31" s="275">
        <f t="shared" si="39"/>
      </c>
      <c r="AE31" s="292">
        <f>IF($T31="","","1")</f>
      </c>
      <c r="AF31" s="134">
        <f t="shared" si="43"/>
      </c>
      <c r="AG31" s="135">
        <f t="shared" si="9"/>
      </c>
      <c r="AH31" s="136">
        <f t="shared" si="21"/>
      </c>
      <c r="AI31" s="137">
        <f t="shared" si="10"/>
      </c>
      <c r="AJ31" s="137">
        <f t="shared" si="11"/>
      </c>
      <c r="AK31" s="138">
        <f>IF($T31="","",((date_réforme)+(an)-AR31))</f>
      </c>
      <c r="AL31" s="298">
        <f t="shared" si="40"/>
      </c>
      <c r="AM31" s="129">
        <f>IF($T31="","",(IF(AL31=5,"361",(IF(AL31=4,"348",(IF(AL31=3,"340",(IF(AL31=2,"332","ano")))))))))</f>
      </c>
      <c r="AN31" s="130">
        <f t="shared" si="12"/>
      </c>
      <c r="AO31" s="140">
        <f t="shared" si="22"/>
      </c>
      <c r="AP31" s="89"/>
      <c r="AQ31" s="5">
        <f t="shared" si="13"/>
        <v>0</v>
      </c>
      <c r="AR31" s="5">
        <f t="shared" si="14"/>
        <v>0</v>
      </c>
    </row>
    <row r="32" spans="3:43" s="48" customFormat="1" ht="6" customHeight="1" thickTop="1">
      <c r="C32" s="50"/>
      <c r="D32" s="50"/>
      <c r="E32" s="49"/>
      <c r="F32" s="51"/>
      <c r="H32" s="52"/>
      <c r="I32" s="375"/>
      <c r="J32" s="376"/>
      <c r="K32" s="375"/>
      <c r="L32" s="375"/>
      <c r="M32" s="375"/>
      <c r="N32" s="377"/>
      <c r="O32" s="378"/>
      <c r="P32" s="194"/>
      <c r="Q32" s="195"/>
      <c r="R32" s="195"/>
      <c r="T32" s="194"/>
      <c r="U32" s="195"/>
      <c r="V32" s="195"/>
      <c r="W32" s="51"/>
      <c r="Y32" s="52"/>
      <c r="Z32" s="53"/>
      <c r="AA32" s="53"/>
      <c r="AG32" s="50"/>
      <c r="AH32" s="51"/>
      <c r="AI32" s="53"/>
      <c r="AJ32" s="54"/>
      <c r="AK32" s="49"/>
      <c r="AL32" s="55"/>
      <c r="AO32" s="51"/>
      <c r="AQ32" s="50"/>
    </row>
    <row r="33" spans="1:43" s="48" customFormat="1" ht="15">
      <c r="A33" s="179" t="s">
        <v>44</v>
      </c>
      <c r="B33" s="156" t="s">
        <v>71</v>
      </c>
      <c r="C33" s="50"/>
      <c r="D33" s="50"/>
      <c r="E33" s="49"/>
      <c r="F33" s="51"/>
      <c r="H33" s="52"/>
      <c r="I33" s="375"/>
      <c r="J33" s="376"/>
      <c r="K33" s="379" t="s">
        <v>53</v>
      </c>
      <c r="L33" s="380" t="s">
        <v>58</v>
      </c>
      <c r="M33" s="375"/>
      <c r="N33" s="377"/>
      <c r="O33" s="378"/>
      <c r="P33" s="196"/>
      <c r="Q33" s="195"/>
      <c r="R33" s="195"/>
      <c r="S33" s="179"/>
      <c r="T33" s="196"/>
      <c r="U33" s="195"/>
      <c r="V33" s="195"/>
      <c r="W33" s="51"/>
      <c r="Y33" s="52"/>
      <c r="Z33" s="53"/>
      <c r="AA33" s="56" t="s">
        <v>27</v>
      </c>
      <c r="AD33" s="179" t="s">
        <v>61</v>
      </c>
      <c r="AE33" s="156" t="s">
        <v>65</v>
      </c>
      <c r="AG33" s="50"/>
      <c r="AH33" s="51"/>
      <c r="AI33" s="53"/>
      <c r="AJ33" s="54"/>
      <c r="AK33" s="49"/>
      <c r="AL33" s="55"/>
      <c r="AO33" s="51"/>
      <c r="AQ33" s="50"/>
    </row>
    <row r="34" spans="1:43" s="48" customFormat="1" ht="15">
      <c r="A34" s="179" t="s">
        <v>45</v>
      </c>
      <c r="B34" s="156" t="s">
        <v>72</v>
      </c>
      <c r="C34" s="50"/>
      <c r="D34" s="50"/>
      <c r="E34" s="49"/>
      <c r="F34" s="51"/>
      <c r="H34" s="52"/>
      <c r="I34" s="375"/>
      <c r="J34" s="376"/>
      <c r="K34" s="379" t="s">
        <v>54</v>
      </c>
      <c r="L34" s="380" t="s">
        <v>59</v>
      </c>
      <c r="M34" s="375"/>
      <c r="N34" s="377"/>
      <c r="O34" s="378"/>
      <c r="P34" s="196"/>
      <c r="Q34" s="195"/>
      <c r="R34" s="195"/>
      <c r="S34" s="179"/>
      <c r="T34" s="196"/>
      <c r="U34" s="195"/>
      <c r="V34" s="195"/>
      <c r="W34" s="51"/>
      <c r="Y34" s="52"/>
      <c r="Z34" s="53"/>
      <c r="AA34" s="56" t="s">
        <v>28</v>
      </c>
      <c r="AD34" s="179" t="s">
        <v>62</v>
      </c>
      <c r="AE34" s="156" t="s">
        <v>64</v>
      </c>
      <c r="AG34" s="50"/>
      <c r="AH34" s="51"/>
      <c r="AI34" s="53"/>
      <c r="AJ34" s="54"/>
      <c r="AK34" s="49"/>
      <c r="AL34" s="55"/>
      <c r="AO34" s="51"/>
      <c r="AQ34" s="50"/>
    </row>
    <row r="35" spans="1:43" s="48" customFormat="1" ht="15">
      <c r="A35" s="179" t="s">
        <v>46</v>
      </c>
      <c r="B35" s="156" t="s">
        <v>80</v>
      </c>
      <c r="C35" s="50"/>
      <c r="D35" s="50"/>
      <c r="E35" s="49"/>
      <c r="F35" s="51"/>
      <c r="H35" s="52"/>
      <c r="I35" s="375"/>
      <c r="J35" s="376"/>
      <c r="K35" s="379" t="s">
        <v>55</v>
      </c>
      <c r="L35" s="380" t="s">
        <v>60</v>
      </c>
      <c r="M35" s="375"/>
      <c r="N35" s="377"/>
      <c r="O35" s="378"/>
      <c r="P35" s="196"/>
      <c r="Q35" s="195"/>
      <c r="R35" s="195"/>
      <c r="S35" s="179"/>
      <c r="T35" s="196"/>
      <c r="U35" s="195"/>
      <c r="V35" s="195"/>
      <c r="W35" s="51"/>
      <c r="Y35" s="52"/>
      <c r="Z35" s="53"/>
      <c r="AA35" s="56" t="s">
        <v>26</v>
      </c>
      <c r="AD35" s="179" t="s">
        <v>63</v>
      </c>
      <c r="AE35" s="156" t="s">
        <v>66</v>
      </c>
      <c r="AG35" s="50"/>
      <c r="AH35" s="51"/>
      <c r="AI35" s="53"/>
      <c r="AJ35" s="54"/>
      <c r="AK35" s="49"/>
      <c r="AL35" s="55"/>
      <c r="AO35" s="51"/>
      <c r="AQ35" s="50"/>
    </row>
    <row r="36" spans="3:43" s="48" customFormat="1" ht="15">
      <c r="C36" s="50"/>
      <c r="D36" s="50"/>
      <c r="P36" s="194"/>
      <c r="Q36" s="195"/>
      <c r="R36" s="195"/>
      <c r="T36" s="194"/>
      <c r="U36" s="195"/>
      <c r="V36" s="195"/>
      <c r="W36" s="51"/>
      <c r="Y36" s="52"/>
      <c r="Z36" s="53"/>
      <c r="AA36" s="56" t="s">
        <v>33</v>
      </c>
      <c r="AG36" s="50"/>
      <c r="AH36" s="51"/>
      <c r="AI36" s="53"/>
      <c r="AJ36" s="54"/>
      <c r="AK36" s="49"/>
      <c r="AL36" s="55"/>
      <c r="AO36" s="51"/>
      <c r="AQ36" s="50"/>
    </row>
  </sheetData>
  <sheetProtection sheet="1" objects="1" scenarios="1"/>
  <mergeCells count="41">
    <mergeCell ref="P2:P3"/>
    <mergeCell ref="Q2:R2"/>
    <mergeCell ref="I1:O1"/>
    <mergeCell ref="E2:E3"/>
    <mergeCell ref="C1:E1"/>
    <mergeCell ref="L2:L3"/>
    <mergeCell ref="M2:M3"/>
    <mergeCell ref="N2:N3"/>
    <mergeCell ref="O2:O3"/>
    <mergeCell ref="G2:G3"/>
    <mergeCell ref="H2:H3"/>
    <mergeCell ref="J2:J3"/>
    <mergeCell ref="K2:K3"/>
    <mergeCell ref="A2:A3"/>
    <mergeCell ref="B2:B3"/>
    <mergeCell ref="C2:D2"/>
    <mergeCell ref="F2:F3"/>
    <mergeCell ref="U2:V2"/>
    <mergeCell ref="S2:S3"/>
    <mergeCell ref="T2:T3"/>
    <mergeCell ref="W2:W3"/>
    <mergeCell ref="X2:X3"/>
    <mergeCell ref="Y2:Y3"/>
    <mergeCell ref="Z2:Z3"/>
    <mergeCell ref="AA2:AA3"/>
    <mergeCell ref="AD1:AO1"/>
    <mergeCell ref="AE2:AE3"/>
    <mergeCell ref="AB2:AC2"/>
    <mergeCell ref="AK2:AK3"/>
    <mergeCell ref="AF2:AF3"/>
    <mergeCell ref="AG2:AG3"/>
    <mergeCell ref="AH2:AH3"/>
    <mergeCell ref="AI2:AI3"/>
    <mergeCell ref="AD2:AD3"/>
    <mergeCell ref="AJ2:AJ3"/>
    <mergeCell ref="AR2:AR3"/>
    <mergeCell ref="AM2:AM3"/>
    <mergeCell ref="AN2:AN3"/>
    <mergeCell ref="AQ2:AQ3"/>
    <mergeCell ref="AP2:AP3"/>
    <mergeCell ref="AO2:AO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4"/>
  <headerFooter alignWithMargins="0">
    <oddFooter>&amp;R&amp;16édité le &amp;D - page &amp;P / &amp;N</oddFooter>
  </headerFooter>
  <colBreaks count="1" manualBreakCount="1">
    <brk id="27" max="65535" man="1"/>
  </colBreaks>
  <drawing r:id="rId3"/>
  <legacyDrawing r:id="rId2"/>
  <oleObjects>
    <oleObject progId="PBrush" shapeId="266132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workbookViewId="0" topLeftCell="A1">
      <pane xSplit="5" ySplit="3" topLeftCell="F4" activePane="bottomRight" state="frozen"/>
      <selection pane="topLeft" activeCell="B2" sqref="B2:B3"/>
      <selection pane="topRight" activeCell="E1" sqref="E1"/>
      <selection pane="bottomLeft" activeCell="A4" sqref="A4"/>
      <selection pane="bottomRight" activeCell="B4" sqref="B4"/>
    </sheetView>
  </sheetViews>
  <sheetFormatPr defaultColWidth="11.421875" defaultRowHeight="12.75"/>
  <cols>
    <col min="1" max="1" width="7.7109375" style="42" bestFit="1" customWidth="1"/>
    <col min="2" max="2" width="11.57421875" style="43" customWidth="1"/>
    <col min="3" max="3" width="5.7109375" style="44" customWidth="1"/>
    <col min="4" max="4" width="6.7109375" style="44" customWidth="1"/>
    <col min="5" max="5" width="7.7109375" style="45" bestFit="1" customWidth="1"/>
    <col min="6" max="6" width="7.140625" style="42" customWidth="1"/>
    <col min="7" max="7" width="10.8515625" style="47" customWidth="1"/>
    <col min="8" max="8" width="11.57421875" style="84" customWidth="1"/>
    <col min="9" max="9" width="17.57421875" style="84" customWidth="1"/>
    <col min="10" max="10" width="26.421875" style="3" customWidth="1"/>
    <col min="11" max="11" width="47.7109375" style="3" bestFit="1" customWidth="1"/>
    <col min="12" max="12" width="9.28125" style="40" customWidth="1"/>
    <col min="13" max="13" width="9.421875" style="40" customWidth="1"/>
    <col min="14" max="14" width="15.8515625" style="40" customWidth="1"/>
    <col min="15" max="15" width="10.57421875" style="41" customWidth="1"/>
    <col min="16" max="16" width="13.57421875" style="46" customWidth="1"/>
    <col min="17" max="17" width="11.57421875" style="84" customWidth="1"/>
    <col min="18" max="18" width="18.28125" style="86" customWidth="1"/>
    <col min="19" max="19" width="19.421875" style="43" customWidth="1"/>
    <col min="20" max="20" width="7.7109375" style="73" bestFit="1" customWidth="1"/>
    <col min="21" max="21" width="16.57421875" style="42" customWidth="1"/>
    <col min="22" max="22" width="9.8515625" style="42" customWidth="1"/>
    <col min="23" max="23" width="14.57421875" style="45" customWidth="1"/>
    <col min="24" max="24" width="8.00390625" style="3" hidden="1" customWidth="1"/>
    <col min="25" max="25" width="6.140625" style="4" hidden="1" customWidth="1"/>
    <col min="26" max="26" width="8.57421875" style="3" hidden="1" customWidth="1"/>
    <col min="27" max="16384" width="11.421875" style="338" customWidth="1"/>
  </cols>
  <sheetData>
    <row r="1" spans="1:26" s="3" customFormat="1" ht="93" customHeight="1">
      <c r="A1" s="152"/>
      <c r="B1" s="153"/>
      <c r="C1" s="426" t="s">
        <v>122</v>
      </c>
      <c r="D1" s="427"/>
      <c r="E1" s="427"/>
      <c r="F1" s="154"/>
      <c r="G1" s="429" t="s">
        <v>117</v>
      </c>
      <c r="H1" s="430"/>
      <c r="I1" s="430"/>
      <c r="J1" s="430"/>
      <c r="K1" s="430"/>
      <c r="L1" s="473" t="s">
        <v>113</v>
      </c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5"/>
      <c r="X1" s="155"/>
      <c r="Y1" s="145"/>
      <c r="Z1" s="144"/>
    </row>
    <row r="2" spans="1:26" s="3" customFormat="1" ht="48" customHeight="1">
      <c r="A2" s="411" t="s">
        <v>0</v>
      </c>
      <c r="B2" s="419" t="s">
        <v>103</v>
      </c>
      <c r="C2" s="433" t="s">
        <v>130</v>
      </c>
      <c r="D2" s="434"/>
      <c r="E2" s="411" t="s">
        <v>1</v>
      </c>
      <c r="F2" s="411" t="s">
        <v>87</v>
      </c>
      <c r="G2" s="403" t="s">
        <v>88</v>
      </c>
      <c r="H2" s="407" t="s">
        <v>29</v>
      </c>
      <c r="I2" s="435" t="s">
        <v>35</v>
      </c>
      <c r="J2" s="476" t="s">
        <v>116</v>
      </c>
      <c r="K2" s="477"/>
      <c r="L2" s="451" t="s">
        <v>73</v>
      </c>
      <c r="M2" s="415" t="s">
        <v>74</v>
      </c>
      <c r="N2" s="415" t="s">
        <v>82</v>
      </c>
      <c r="O2" s="449" t="s">
        <v>114</v>
      </c>
      <c r="P2" s="415" t="s">
        <v>76</v>
      </c>
      <c r="Q2" s="450" t="s">
        <v>29</v>
      </c>
      <c r="R2" s="450" t="s">
        <v>35</v>
      </c>
      <c r="S2" s="478" t="s">
        <v>115</v>
      </c>
      <c r="T2" s="247" t="s">
        <v>77</v>
      </c>
      <c r="U2" s="417" t="s">
        <v>94</v>
      </c>
      <c r="V2" s="441" t="s">
        <v>79</v>
      </c>
      <c r="W2" s="417" t="s">
        <v>42</v>
      </c>
      <c r="X2" s="414" t="s">
        <v>21</v>
      </c>
      <c r="Y2" s="412" t="s">
        <v>7</v>
      </c>
      <c r="Z2" s="409" t="s">
        <v>22</v>
      </c>
    </row>
    <row r="3" spans="1:26" s="3" customFormat="1" ht="72.75" customHeight="1" thickBot="1">
      <c r="A3" s="418"/>
      <c r="B3" s="420"/>
      <c r="C3" s="146" t="s">
        <v>11</v>
      </c>
      <c r="D3" s="146" t="s">
        <v>12</v>
      </c>
      <c r="E3" s="421"/>
      <c r="F3" s="418"/>
      <c r="G3" s="421"/>
      <c r="H3" s="408"/>
      <c r="I3" s="436"/>
      <c r="J3" s="309" t="s">
        <v>30</v>
      </c>
      <c r="K3" s="309" t="s">
        <v>10</v>
      </c>
      <c r="L3" s="452"/>
      <c r="M3" s="402"/>
      <c r="N3" s="402"/>
      <c r="O3" s="402"/>
      <c r="P3" s="415"/>
      <c r="Q3" s="408"/>
      <c r="R3" s="408"/>
      <c r="S3" s="479"/>
      <c r="T3" s="225">
        <f>IF(T4="11"," &lt;&lt; SOMMET","")</f>
      </c>
      <c r="U3" s="424"/>
      <c r="V3" s="424"/>
      <c r="W3" s="417"/>
      <c r="X3" s="413"/>
      <c r="Y3" s="413"/>
      <c r="Z3" s="410"/>
    </row>
    <row r="4" spans="1:26" s="1" customFormat="1" ht="30" customHeight="1" thickBot="1" thickTop="1">
      <c r="A4" s="93" t="s">
        <v>68</v>
      </c>
      <c r="B4" s="65"/>
      <c r="C4" s="94"/>
      <c r="D4" s="95"/>
      <c r="E4" s="96">
        <v>8</v>
      </c>
      <c r="F4" s="96">
        <v>534</v>
      </c>
      <c r="G4" s="97">
        <f aca="true" t="shared" si="0" ref="G4:G32">F4*valeur_ind_maj</f>
        <v>2460.2759499999997</v>
      </c>
      <c r="H4" s="98">
        <f aca="true" t="shared" si="1" ref="H4:H32">F4*valeur_IM_SMIC</f>
        <v>3028.850399261187</v>
      </c>
      <c r="I4" s="99">
        <f aca="true" t="shared" si="2" ref="I4:I32">G4-H4</f>
        <v>-568.574449261187</v>
      </c>
      <c r="J4" s="100">
        <f>IF($B4="","",(IF((date_réforme-$B4)&gt;(an*3),"3 ans dans échelon","pas 3 ans dans échelon")))</f>
      </c>
      <c r="K4" s="101">
        <f>IF($B4="","",(IF((date_réforme-$B4)&gt;(an*3),"reclassement au-delà","anc. acquise")))</f>
      </c>
      <c r="L4" s="319">
        <f>IF(B4="","","3ème")</f>
      </c>
      <c r="M4" s="96">
        <f>IF($B4="","",(IF((date_réforme-$B4)&gt;(an*3),"11","10")))</f>
      </c>
      <c r="N4" s="96">
        <f aca="true" t="shared" si="3" ref="N4:N9">IF($B4="","",(IF(M4="11","551",(IF(M4="10","535",(IF(M4="9","519",(IF(M4="8","494",(IF(M4="7","471",(IF(M4="6","449",(IF(M4="5","428","ano")))))))))))))))</f>
      </c>
      <c r="O4" s="158">
        <f aca="true" t="shared" si="4" ref="O4:O32">IF($B4="","",(N4*valeur_ind_maj))</f>
      </c>
      <c r="P4" s="109">
        <f aca="true" t="shared" si="5" ref="P4:P28">IF($B4="","",O4-G4)</f>
      </c>
      <c r="Q4" s="106">
        <f aca="true" t="shared" si="6" ref="Q4:Q21">IF($B4="","",(N4*valeur_IM_SMIC))</f>
      </c>
      <c r="R4" s="106">
        <f aca="true" t="shared" si="7" ref="R4:R28">IF($B4="","",O4-H4)</f>
      </c>
      <c r="S4" s="159">
        <f>IF($B4="","",(IF((date_réforme-$B4)&gt;(an*3),"sommet",((date_réforme+(an*3)-Z4)))))</f>
      </c>
      <c r="T4" s="320">
        <f>IF($B4="","",(IF((date_réforme-$B4)&gt;(an*3),"11","11")))</f>
      </c>
      <c r="U4" s="103">
        <f>IF($B4="","",(IF(T4="11","551",(IF(T4="10","535",(IF(T4="9","519",(IF(T4="8","494",(IF(T4="7","471",(IF(T4="6","449",(IF(T4="5","428","ano")))))))))))))))</f>
      </c>
      <c r="V4" s="160">
        <f aca="true" t="shared" si="8" ref="V4:V32">IF($B4="","",(U4*valeur_ind_maj))</f>
      </c>
      <c r="W4" s="105">
        <f aca="true" t="shared" si="9" ref="W4:W17">IF($B4="","",V4-G4)</f>
      </c>
      <c r="X4" s="5">
        <f>IF($B4="","",(IF((date_réforme-$B4)&gt;(an*3),"0",(date_réforme-B4))))</f>
      </c>
      <c r="Y4" s="5">
        <f aca="true" t="shared" si="10" ref="Y4:Y21">(C4*(an/12))+D4</f>
        <v>0</v>
      </c>
      <c r="Z4" s="5">
        <f aca="true" t="shared" si="11" ref="Z4:Z17">SUM(X4:Y4)</f>
        <v>0</v>
      </c>
    </row>
    <row r="5" spans="1:26" s="1" customFormat="1" ht="30" customHeight="1" thickTop="1">
      <c r="A5" s="62" t="s">
        <v>68</v>
      </c>
      <c r="B5" s="321"/>
      <c r="C5" s="66"/>
      <c r="D5" s="67"/>
      <c r="E5" s="226">
        <v>7</v>
      </c>
      <c r="F5" s="161">
        <v>503</v>
      </c>
      <c r="G5" s="227">
        <f t="shared" si="0"/>
        <v>2317.4509416666665</v>
      </c>
      <c r="H5" s="228">
        <f>F5*valeur_IM_SMIC</f>
        <v>2853.018259978234</v>
      </c>
      <c r="I5" s="322">
        <f>G5-H5</f>
        <v>-535.5673183115673</v>
      </c>
      <c r="J5" s="323"/>
      <c r="K5" s="229">
        <f>IF($B5="","","3/4 de l'anc. acquise")</f>
      </c>
      <c r="L5" s="324">
        <f aca="true" t="shared" si="12" ref="L5:L19">IF(B5="","","3ème")</f>
      </c>
      <c r="M5" s="161">
        <f>IF($B5="","","9")</f>
      </c>
      <c r="N5" s="161">
        <f t="shared" si="3"/>
      </c>
      <c r="O5" s="162">
        <f t="shared" si="4"/>
      </c>
      <c r="P5" s="163">
        <f t="shared" si="5"/>
      </c>
      <c r="Q5" s="230">
        <f t="shared" si="6"/>
      </c>
      <c r="R5" s="230">
        <f t="shared" si="7"/>
      </c>
      <c r="S5" s="164">
        <f>IF($B5="","",(((date_réforme+(an*3)-Z5))))</f>
      </c>
      <c r="T5" s="325">
        <f>IF(M5="","",(M5+1))</f>
      </c>
      <c r="U5" s="74">
        <f>IF($B5="","",(IF(T5=11,"551",(IF(T5=10,"535",(IF(T5=9,"519",(IF(T5=8,"494",(IF(T5=7,"471",(IF(T5=6,"449",(IF(T5=5,"428","ano")))))))))))))))</f>
      </c>
      <c r="V5" s="165">
        <f t="shared" si="8"/>
      </c>
      <c r="W5" s="80">
        <f t="shared" si="9"/>
      </c>
      <c r="X5" s="5">
        <f>IF($B5="","",(date_réforme-B5)*3/4)</f>
      </c>
      <c r="Y5" s="5">
        <f t="shared" si="10"/>
        <v>0</v>
      </c>
      <c r="Z5" s="5">
        <f t="shared" si="11"/>
        <v>0</v>
      </c>
    </row>
    <row r="6" spans="1:26" s="1" customFormat="1" ht="30" customHeight="1">
      <c r="A6" s="62" t="s">
        <v>68</v>
      </c>
      <c r="B6" s="321"/>
      <c r="C6" s="57"/>
      <c r="D6" s="68"/>
      <c r="E6" s="82">
        <v>6</v>
      </c>
      <c r="F6" s="78">
        <v>479</v>
      </c>
      <c r="G6" s="79">
        <f t="shared" si="0"/>
        <v>2206.8767416666665</v>
      </c>
      <c r="H6" s="83">
        <f t="shared" si="1"/>
        <v>2716.8901521462703</v>
      </c>
      <c r="I6" s="88">
        <f t="shared" si="2"/>
        <v>-510.01341047960386</v>
      </c>
      <c r="J6" s="87"/>
      <c r="K6" s="89">
        <f>IF($B6="","","anc. acquise")</f>
      </c>
      <c r="L6" s="324">
        <f t="shared" si="12"/>
      </c>
      <c r="M6" s="78">
        <f>IF($B6="","","8")</f>
      </c>
      <c r="N6" s="78">
        <f t="shared" si="3"/>
      </c>
      <c r="O6" s="166">
        <f t="shared" si="4"/>
      </c>
      <c r="P6" s="81">
        <f t="shared" si="5"/>
      </c>
      <c r="Q6" s="85">
        <f t="shared" si="6"/>
      </c>
      <c r="R6" s="85">
        <f t="shared" si="7"/>
      </c>
      <c r="S6" s="164">
        <f>IF($B6="","",(((date_réforme+(an*3)-Z6))))</f>
      </c>
      <c r="T6" s="325">
        <f>IF(M6="","",(M6+1))</f>
      </c>
      <c r="U6" s="74">
        <f>IF($B6="","",(IF(T6=11,"551",(IF(T6=10,"535",(IF(T6=9,"519",(IF(T6=8,"494",(IF(T6=7,"471",(IF(T6=6,"449",(IF(T6=5,"428","ano")))))))))))))))</f>
      </c>
      <c r="V6" s="165">
        <f t="shared" si="8"/>
      </c>
      <c r="W6" s="80">
        <f t="shared" si="9"/>
      </c>
      <c r="X6" s="2">
        <f>IF($B6="","",((date_réforme-B6)))</f>
      </c>
      <c r="Y6" s="5">
        <f t="shared" si="10"/>
        <v>0</v>
      </c>
      <c r="Z6" s="5">
        <f t="shared" si="11"/>
        <v>0</v>
      </c>
    </row>
    <row r="7" spans="1:26" s="1" customFormat="1" ht="30" customHeight="1">
      <c r="A7" s="62" t="s">
        <v>68</v>
      </c>
      <c r="B7" s="321"/>
      <c r="C7" s="57"/>
      <c r="D7" s="68"/>
      <c r="E7" s="82">
        <v>5</v>
      </c>
      <c r="F7" s="78">
        <v>456</v>
      </c>
      <c r="G7" s="79">
        <f t="shared" si="0"/>
        <v>2100.9098</v>
      </c>
      <c r="H7" s="83">
        <f t="shared" si="1"/>
        <v>2586.4340488073053</v>
      </c>
      <c r="I7" s="88">
        <f t="shared" si="2"/>
        <v>-485.5242488073054</v>
      </c>
      <c r="J7" s="87"/>
      <c r="K7" s="89">
        <f>IF($B7="","","anc. acquise")</f>
      </c>
      <c r="L7" s="324">
        <f t="shared" si="12"/>
      </c>
      <c r="M7" s="78">
        <f>IF($B7="","","7")</f>
      </c>
      <c r="N7" s="78">
        <f t="shared" si="3"/>
      </c>
      <c r="O7" s="166">
        <f t="shared" si="4"/>
      </c>
      <c r="P7" s="81">
        <f t="shared" si="5"/>
      </c>
      <c r="Q7" s="85">
        <f t="shared" si="6"/>
      </c>
      <c r="R7" s="85">
        <f t="shared" si="7"/>
      </c>
      <c r="S7" s="167">
        <f>IF($B7="","",(date_réforme)+(an*3)-Z7)</f>
      </c>
      <c r="T7" s="325">
        <f>IF(M7="","",(M7+1))</f>
      </c>
      <c r="U7" s="74">
        <f>IF($B7="","",(IF(T7="11","551",(IF(T7="10","535",(IF(T7=9,"519",(IF(T7=8,"494",(IF(T7=7,"471",(IF(T7=6,"449",(IF(T7=5,"428","ano")))))))))))))))</f>
      </c>
      <c r="V7" s="165">
        <f t="shared" si="8"/>
      </c>
      <c r="W7" s="80">
        <f t="shared" si="9"/>
      </c>
      <c r="X7" s="2">
        <f>IF($B7="","",((date_réforme-B7)))</f>
      </c>
      <c r="Y7" s="5">
        <f t="shared" si="10"/>
        <v>0</v>
      </c>
      <c r="Z7" s="5">
        <f t="shared" si="11"/>
        <v>0</v>
      </c>
    </row>
    <row r="8" spans="1:26" s="1" customFormat="1" ht="30" customHeight="1">
      <c r="A8" s="62" t="s">
        <v>68</v>
      </c>
      <c r="B8" s="321"/>
      <c r="C8" s="57"/>
      <c r="D8" s="68"/>
      <c r="E8" s="82">
        <v>4</v>
      </c>
      <c r="F8" s="78">
        <v>435</v>
      </c>
      <c r="G8" s="79">
        <f t="shared" si="0"/>
        <v>2004.157375</v>
      </c>
      <c r="H8" s="83">
        <f t="shared" si="1"/>
        <v>2467.3219544543376</v>
      </c>
      <c r="I8" s="88">
        <f t="shared" si="2"/>
        <v>-463.1645794543376</v>
      </c>
      <c r="J8" s="87"/>
      <c r="K8" s="89">
        <f>IF($B8="","","2/3 de l'anc. acquise")</f>
      </c>
      <c r="L8" s="324">
        <f t="shared" si="12"/>
      </c>
      <c r="M8" s="78">
        <f>IF($B8="","","6")</f>
      </c>
      <c r="N8" s="78">
        <f t="shared" si="3"/>
      </c>
      <c r="O8" s="166">
        <f t="shared" si="4"/>
      </c>
      <c r="P8" s="81">
        <f t="shared" si="5"/>
      </c>
      <c r="Q8" s="85">
        <f t="shared" si="6"/>
      </c>
      <c r="R8" s="85">
        <f t="shared" si="7"/>
      </c>
      <c r="S8" s="167">
        <f>IF($B8="","",(date_réforme)+(an*2)-Z8)</f>
      </c>
      <c r="T8" s="325">
        <f>IF($M8="","",M8+1)</f>
      </c>
      <c r="U8" s="74">
        <f>IF($B8="","",(IF(T8="11","551",(IF(T8="10","535",(IF(T8=9,"519",(IF(T8=8,"494",(IF(T8=7,"471",(IF(T8=6,"449",(IF(T8=5,"428","ano")))))))))))))))</f>
      </c>
      <c r="V8" s="165">
        <f t="shared" si="8"/>
      </c>
      <c r="W8" s="80">
        <f t="shared" si="9"/>
      </c>
      <c r="X8" s="2">
        <f>IF($B8="","",(date_réforme-B8)*2/3)</f>
      </c>
      <c r="Y8" s="5">
        <f t="shared" si="10"/>
        <v>0</v>
      </c>
      <c r="Z8" s="5">
        <f t="shared" si="11"/>
        <v>0</v>
      </c>
    </row>
    <row r="9" spans="1:26" s="1" customFormat="1" ht="30" customHeight="1">
      <c r="A9" s="62" t="s">
        <v>68</v>
      </c>
      <c r="B9" s="321"/>
      <c r="C9" s="57"/>
      <c r="D9" s="68"/>
      <c r="E9" s="82">
        <v>3</v>
      </c>
      <c r="F9" s="78">
        <v>415</v>
      </c>
      <c r="G9" s="79">
        <f t="shared" si="0"/>
        <v>1912.0122083333333</v>
      </c>
      <c r="H9" s="83">
        <f t="shared" si="1"/>
        <v>2353.881864594368</v>
      </c>
      <c r="I9" s="88">
        <f t="shared" si="2"/>
        <v>-441.8696562610346</v>
      </c>
      <c r="J9" s="87"/>
      <c r="K9" s="89">
        <f>IF($B9="","","anc. acquise")</f>
      </c>
      <c r="L9" s="324">
        <f t="shared" si="12"/>
      </c>
      <c r="M9" s="78">
        <f>IF($B9="","","5")</f>
      </c>
      <c r="N9" s="78">
        <f t="shared" si="3"/>
      </c>
      <c r="O9" s="166">
        <f t="shared" si="4"/>
      </c>
      <c r="P9" s="81">
        <f t="shared" si="5"/>
      </c>
      <c r="Q9" s="85">
        <f t="shared" si="6"/>
      </c>
      <c r="R9" s="85">
        <f t="shared" si="7"/>
      </c>
      <c r="S9" s="167">
        <f>IF($B9="","",(date_réforme)+(an*2)-Z9)</f>
      </c>
      <c r="T9" s="325">
        <f>IF($M9="","",M9+1)</f>
      </c>
      <c r="U9" s="74">
        <f>IF($B9="","",(IF(T9="11","551",(IF(T9="10","535",(IF(T9=9,"519",(IF(T9=8,"494",(IF(T9=7,"471",(IF(T9=6,"449",(IF(T9=5,"428","ano")))))))))))))))</f>
      </c>
      <c r="V9" s="165">
        <f t="shared" si="8"/>
      </c>
      <c r="W9" s="80">
        <f t="shared" si="9"/>
      </c>
      <c r="X9" s="2">
        <f>IF($B9="","",(date_réforme-B9))</f>
      </c>
      <c r="Y9" s="5">
        <f t="shared" si="10"/>
        <v>0</v>
      </c>
      <c r="Z9" s="5">
        <f t="shared" si="11"/>
        <v>0</v>
      </c>
    </row>
    <row r="10" spans="1:26" s="1" customFormat="1" ht="30" customHeight="1">
      <c r="A10" s="62" t="s">
        <v>68</v>
      </c>
      <c r="B10" s="321"/>
      <c r="C10" s="57"/>
      <c r="D10" s="68"/>
      <c r="E10" s="82">
        <v>2</v>
      </c>
      <c r="F10" s="78">
        <v>396</v>
      </c>
      <c r="G10" s="79">
        <f t="shared" si="0"/>
        <v>1824.4742999999999</v>
      </c>
      <c r="H10" s="83">
        <f t="shared" si="1"/>
        <v>2246.1137792273967</v>
      </c>
      <c r="I10" s="88">
        <f t="shared" si="2"/>
        <v>-421.6394792273968</v>
      </c>
      <c r="J10" s="87"/>
      <c r="K10" s="89">
        <f>IF($B10="","","anc. acquise")</f>
      </c>
      <c r="L10" s="324">
        <f t="shared" si="12"/>
      </c>
      <c r="M10" s="78">
        <f>IF($B10="","","4")</f>
      </c>
      <c r="N10" s="78">
        <f>IF($B10="","",(IF(M10="5","428",(IF(M10="4","410",(IF(M10="3","395",(IF(M10="2","380","365")))))))))</f>
      </c>
      <c r="O10" s="166">
        <f t="shared" si="4"/>
      </c>
      <c r="P10" s="81">
        <f t="shared" si="5"/>
      </c>
      <c r="Q10" s="85">
        <f t="shared" si="6"/>
      </c>
      <c r="R10" s="85">
        <f t="shared" si="7"/>
      </c>
      <c r="S10" s="167">
        <f>IF($B10="","",(date_réforme)+(an*2)-Z10)</f>
      </c>
      <c r="T10" s="325">
        <f>IF($M10="","",M10+1)</f>
      </c>
      <c r="U10" s="74">
        <f>IF($B10="","",(IF(T10="11","551",(IF(T10="10","535",(IF(T10=9,"519",(IF(T10=8,"494",(IF(T10=7,"471",(IF(T10=6,"449",(IF(T10=5,"428","ano")))))))))))))))</f>
      </c>
      <c r="V10" s="165">
        <f t="shared" si="8"/>
      </c>
      <c r="W10" s="80">
        <f t="shared" si="9"/>
      </c>
      <c r="X10" s="2">
        <f>IF($B10="","",(date_réforme-B10))</f>
      </c>
      <c r="Y10" s="5">
        <f t="shared" si="10"/>
        <v>0</v>
      </c>
      <c r="Z10" s="5">
        <f t="shared" si="11"/>
        <v>0</v>
      </c>
    </row>
    <row r="11" spans="1:26" s="1" customFormat="1" ht="30" customHeight="1" thickBot="1">
      <c r="A11" s="110" t="s">
        <v>68</v>
      </c>
      <c r="B11" s="111"/>
      <c r="C11" s="69"/>
      <c r="D11" s="70"/>
      <c r="E11" s="112">
        <v>1</v>
      </c>
      <c r="F11" s="113">
        <v>375</v>
      </c>
      <c r="G11" s="114">
        <f t="shared" si="0"/>
        <v>1727.721875</v>
      </c>
      <c r="H11" s="115">
        <f t="shared" si="1"/>
        <v>2127.001684874429</v>
      </c>
      <c r="I11" s="116">
        <f t="shared" si="2"/>
        <v>-399.279809874429</v>
      </c>
      <c r="J11" s="117"/>
      <c r="K11" s="118">
        <f>IF($B11="","","2 fois l'anc. acquise")</f>
      </c>
      <c r="L11" s="326">
        <f t="shared" si="12"/>
      </c>
      <c r="M11" s="113">
        <f>IF($B11="","","3")</f>
      </c>
      <c r="N11" s="113">
        <f>IF($B11="","",(IF(M11="5","428",(IF(M11="4","410",(IF(M11="3","395",(IF(M11="2","380","365")))))))))</f>
      </c>
      <c r="O11" s="168">
        <f t="shared" si="4"/>
      </c>
      <c r="P11" s="126">
        <f t="shared" si="5"/>
      </c>
      <c r="Q11" s="123">
        <f t="shared" si="6"/>
      </c>
      <c r="R11" s="123">
        <f t="shared" si="7"/>
      </c>
      <c r="S11" s="169">
        <f>IF($B11="","",(date_réforme)+(an*2)-Z11)</f>
      </c>
      <c r="T11" s="327">
        <f>IF($M11="","",M11+1)</f>
      </c>
      <c r="U11" s="120">
        <f>IF($B11="","",(IF(T11="11","551",(IF(T11="10","535",(IF(T11=9,"519",(IF(T11=8,"494",(IF(T11=7,"471",(IF(T11=6,"449",(IF(T11=4,"410","ano")))))))))))))))</f>
      </c>
      <c r="V11" s="170">
        <f t="shared" si="8"/>
      </c>
      <c r="W11" s="122">
        <f t="shared" si="9"/>
      </c>
      <c r="X11" s="1">
        <f>IF($B11="","",(date_réforme-B11)*2)</f>
      </c>
      <c r="Y11" s="5">
        <f t="shared" si="10"/>
        <v>0</v>
      </c>
      <c r="Z11" s="5">
        <f t="shared" si="11"/>
        <v>0</v>
      </c>
    </row>
    <row r="12" spans="1:26" s="1" customFormat="1" ht="30" customHeight="1" thickBot="1" thickTop="1">
      <c r="A12" s="231" t="s">
        <v>69</v>
      </c>
      <c r="B12" s="328"/>
      <c r="C12" s="329"/>
      <c r="D12" s="330"/>
      <c r="E12" s="103">
        <v>8</v>
      </c>
      <c r="F12" s="103">
        <v>500</v>
      </c>
      <c r="G12" s="160">
        <f t="shared" si="0"/>
        <v>2303.6291666666666</v>
      </c>
      <c r="H12" s="98">
        <f t="shared" si="1"/>
        <v>2836.0022464992385</v>
      </c>
      <c r="I12" s="99">
        <f t="shared" si="2"/>
        <v>-532.3730798325719</v>
      </c>
      <c r="J12" s="331">
        <f>IF($B12="","",(IF((date_réforme-$B12)&gt;((an*6)+1),"6 ans dans échelon",IF((date_réforme-$B12)&gt;((an*3)),"3 ans dans échelon","pas 3 ans dans échelon"))))</f>
      </c>
      <c r="K12" s="89">
        <f>IF($B12="","",(IF((date_réforme-$B12)&gt;((an*6)+1),"reclassement au-delà",IF((date_réforme-$B12)&gt;((an*3)),"reclassement au-delà","anc. acquise"))))</f>
      </c>
      <c r="L12" s="324">
        <f t="shared" si="12"/>
      </c>
      <c r="M12" s="78">
        <f>IF($B12="","",(IF((date_réforme-$B12)&gt;((an*6)+1),"11",IF((date_réforme-$B12)&gt;((an*3)),"10","9"))))</f>
      </c>
      <c r="N12" s="78">
        <f>IF($B12="","",(IF(M12="11","551",(IF(M12="10","535",(IF(M12="9","519",(IF(M12="8","494",(IF(M12="7","471",(IF(M12="6","449",(IF(M12="5","428","ano")))))))))))))))</f>
      </c>
      <c r="O12" s="166">
        <f t="shared" si="4"/>
      </c>
      <c r="P12" s="81">
        <f t="shared" si="5"/>
      </c>
      <c r="Q12" s="85">
        <f t="shared" si="6"/>
      </c>
      <c r="R12" s="85">
        <f t="shared" si="7"/>
      </c>
      <c r="S12" s="167">
        <f>IF($B12="","",(IF((date_réforme-$B12)&gt;((an*6)+1),"sommet",IF((date_réforme-$B12)&gt;((an*3)),(date_réforme+(an*3))-(date_réforme-(an*3)-B12),(date_réforme)-(date_réforme-(an*3)-B12)))))</f>
      </c>
      <c r="T12" s="325">
        <f>IF($B12="","",(IF((date_réforme-$B12)&gt;((an*6)+1),"11",IF((date_réforme-$B12)&gt;((an*3)),"11","10"))))</f>
      </c>
      <c r="U12" s="74">
        <f>IF($B12="","",(IF(T12="11","551",(IF(T12="10","535",(IF(T12="9","519",(IF(T12="8","494",(IF(T12="7","471",(IF(T12="6","449",(IF(T12="5","428","ano")))))))))))))))</f>
      </c>
      <c r="V12" s="165">
        <f t="shared" si="8"/>
      </c>
      <c r="W12" s="80">
        <f t="shared" si="9"/>
      </c>
      <c r="X12" s="5">
        <f>IF($B12="","",(IF((date_réforme-$B12)&gt;((an*6)+1),"0",IF((date_réforme-$B12)&gt;((an*3)),(date_réforme-B12-(an*3)-1),(date_réforme-B12)))))</f>
      </c>
      <c r="Y12" s="5">
        <f t="shared" si="10"/>
        <v>0</v>
      </c>
      <c r="Z12" s="5">
        <f t="shared" si="11"/>
        <v>0</v>
      </c>
    </row>
    <row r="13" spans="1:26" s="1" customFormat="1" ht="30" customHeight="1" thickTop="1">
      <c r="A13" s="232" t="s">
        <v>69</v>
      </c>
      <c r="B13" s="332"/>
      <c r="C13" s="171"/>
      <c r="D13" s="172"/>
      <c r="E13" s="173">
        <v>7</v>
      </c>
      <c r="F13" s="74">
        <v>475</v>
      </c>
      <c r="G13" s="165">
        <f t="shared" si="0"/>
        <v>2188.447708333333</v>
      </c>
      <c r="H13" s="83">
        <f t="shared" si="1"/>
        <v>2694.2021341742766</v>
      </c>
      <c r="I13" s="88">
        <f t="shared" si="2"/>
        <v>-505.75442584094344</v>
      </c>
      <c r="J13" s="87"/>
      <c r="K13" s="89">
        <f>IF($B13="","","3/4 de l'anc. acquise")</f>
      </c>
      <c r="L13" s="324">
        <f t="shared" si="12"/>
      </c>
      <c r="M13" s="78">
        <f>IF($B13="","","8")</f>
      </c>
      <c r="N13" s="78">
        <f>IF($B13="","",(IF(M13="11","551",(IF(M13="10","535",(IF(M13="9","519",(IF(M13="8","494",(IF(M13="7","471",(IF(M13="6","449",(IF(M13="5","428","ano")))))))))))))))</f>
      </c>
      <c r="O13" s="166">
        <f t="shared" si="4"/>
      </c>
      <c r="P13" s="81">
        <f t="shared" si="5"/>
      </c>
      <c r="Q13" s="85">
        <f t="shared" si="6"/>
      </c>
      <c r="R13" s="85">
        <f t="shared" si="7"/>
      </c>
      <c r="S13" s="167">
        <f>IF($B13="","",(date_réforme)+(an*3)-Z13)</f>
      </c>
      <c r="T13" s="325">
        <f aca="true" t="shared" si="13" ref="T13:T19">IF($M13="","",M13+1)</f>
      </c>
      <c r="U13" s="74">
        <f>IF($B13="","",(IF(T13="11","551",(IF(T13="10","535",(IF(T13=9,"519",(IF(T13=8,"494",(IF(T13=7,"471",(IF(T13=6,"449",(IF(T13=5,"428","ano")))))))))))))))</f>
      </c>
      <c r="V13" s="165">
        <f t="shared" si="8"/>
      </c>
      <c r="W13" s="80">
        <f t="shared" si="9"/>
      </c>
      <c r="X13" s="1">
        <f>IF($B13="","",(date_réforme-B13)*3/4)</f>
      </c>
      <c r="Y13" s="5">
        <f t="shared" si="10"/>
        <v>0</v>
      </c>
      <c r="Z13" s="5">
        <f t="shared" si="11"/>
        <v>0</v>
      </c>
    </row>
    <row r="14" spans="1:26" s="1" customFormat="1" ht="30" customHeight="1">
      <c r="A14" s="232" t="s">
        <v>69</v>
      </c>
      <c r="B14" s="332"/>
      <c r="C14" s="174"/>
      <c r="D14" s="175"/>
      <c r="E14" s="173">
        <v>6</v>
      </c>
      <c r="F14" s="74">
        <v>454</v>
      </c>
      <c r="G14" s="165">
        <f t="shared" si="0"/>
        <v>2091.6952833333335</v>
      </c>
      <c r="H14" s="83">
        <f t="shared" si="1"/>
        <v>2575.0900398213084</v>
      </c>
      <c r="I14" s="88">
        <f t="shared" si="2"/>
        <v>-483.394756487975</v>
      </c>
      <c r="J14" s="87"/>
      <c r="K14" s="89">
        <f>IF($B14="","","3/4 de l'anc. acquise")</f>
      </c>
      <c r="L14" s="324">
        <f t="shared" si="12"/>
      </c>
      <c r="M14" s="78">
        <f>IF($B14="","","7")</f>
      </c>
      <c r="N14" s="78">
        <f>IF($B14="","",(IF(M14="11","551",(IF(M14="10","535",(IF(M14="9","519",(IF(M14="8","494",(IF(M14="7","471",(IF(M14="6","449",(IF(M14="5","428","ano")))))))))))))))</f>
      </c>
      <c r="O14" s="166">
        <f t="shared" si="4"/>
      </c>
      <c r="P14" s="81">
        <f t="shared" si="5"/>
      </c>
      <c r="Q14" s="85">
        <f t="shared" si="6"/>
      </c>
      <c r="R14" s="85">
        <f t="shared" si="7"/>
      </c>
      <c r="S14" s="167">
        <f>IF($B14="","",(date_réforme)+(an*3)-Z14)</f>
      </c>
      <c r="T14" s="325">
        <f t="shared" si="13"/>
      </c>
      <c r="U14" s="74">
        <f>IF($B14="","",(IF(T14="11","551",(IF(T14="10","535",(IF(T14=9,"519",(IF(T14=8,"494",(IF(T14=7,"471",(IF(T14=6,"449",(IF(T14=5,"428","ano")))))))))))))))</f>
      </c>
      <c r="V14" s="165">
        <f t="shared" si="8"/>
      </c>
      <c r="W14" s="80">
        <f t="shared" si="9"/>
      </c>
      <c r="X14" s="1">
        <f>IF($B14="","",(date_réforme-B14)*3/4)</f>
      </c>
      <c r="Y14" s="5">
        <f t="shared" si="10"/>
        <v>0</v>
      </c>
      <c r="Z14" s="5">
        <f t="shared" si="11"/>
        <v>0</v>
      </c>
    </row>
    <row r="15" spans="1:26" s="1" customFormat="1" ht="30" customHeight="1">
      <c r="A15" s="232" t="s">
        <v>69</v>
      </c>
      <c r="B15" s="332"/>
      <c r="C15" s="174"/>
      <c r="D15" s="175"/>
      <c r="E15" s="173">
        <v>5</v>
      </c>
      <c r="F15" s="74">
        <v>430</v>
      </c>
      <c r="G15" s="165">
        <f t="shared" si="0"/>
        <v>1981.1210833333332</v>
      </c>
      <c r="H15" s="83">
        <f t="shared" si="1"/>
        <v>2438.961931989345</v>
      </c>
      <c r="I15" s="88">
        <f t="shared" si="2"/>
        <v>-457.84084865601176</v>
      </c>
      <c r="J15" s="87"/>
      <c r="K15" s="89">
        <f>IF($B15="","","2/3 de l'anc. acquise")</f>
      </c>
      <c r="L15" s="324">
        <f t="shared" si="12"/>
      </c>
      <c r="M15" s="78">
        <f>IF($B15="","","6")</f>
      </c>
      <c r="N15" s="78">
        <f>IF($B15="","",(IF(M15="11","551",(IF(M15="10","535",(IF(M15="9","519",(IF(M15="8","494",(IF(M15="7","471",(IF(M15="6","449",(IF(M15="5","428","ano")))))))))))))))</f>
      </c>
      <c r="O15" s="166">
        <f t="shared" si="4"/>
      </c>
      <c r="P15" s="81">
        <f t="shared" si="5"/>
      </c>
      <c r="Q15" s="85">
        <f t="shared" si="6"/>
      </c>
      <c r="R15" s="85">
        <f t="shared" si="7"/>
      </c>
      <c r="S15" s="167">
        <f>IF($B15="","",(date_réforme)+(an*2)-Z15)</f>
      </c>
      <c r="T15" s="325">
        <f t="shared" si="13"/>
      </c>
      <c r="U15" s="74">
        <f>IF($B15="","",(IF(T15="11","551",(IF(T15="10","535",(IF(T15=9,"519",(IF(T15=8,"494",(IF(T15=7,"471",(IF(T15=6,"449",(IF(T15=5,"428","ano")))))))))))))))</f>
      </c>
      <c r="V15" s="165">
        <f t="shared" si="8"/>
      </c>
      <c r="W15" s="80">
        <f t="shared" si="9"/>
      </c>
      <c r="X15" s="1">
        <f>IF($B15="","",(date_réforme-B15)*2/3)</f>
      </c>
      <c r="Y15" s="5">
        <f t="shared" si="10"/>
        <v>0</v>
      </c>
      <c r="Z15" s="5">
        <f t="shared" si="11"/>
        <v>0</v>
      </c>
    </row>
    <row r="16" spans="1:26" s="1" customFormat="1" ht="30" customHeight="1">
      <c r="A16" s="232" t="s">
        <v>69</v>
      </c>
      <c r="B16" s="332"/>
      <c r="C16" s="174"/>
      <c r="D16" s="175"/>
      <c r="E16" s="173">
        <v>4</v>
      </c>
      <c r="F16" s="74">
        <v>411</v>
      </c>
      <c r="G16" s="165">
        <f t="shared" si="0"/>
        <v>1893.583175</v>
      </c>
      <c r="H16" s="83">
        <f t="shared" si="1"/>
        <v>2331.193846622374</v>
      </c>
      <c r="I16" s="88">
        <f t="shared" si="2"/>
        <v>-437.6106716223742</v>
      </c>
      <c r="J16" s="87"/>
      <c r="K16" s="89">
        <f>IF($B16="","","2/3 de l'anc. acquise")</f>
      </c>
      <c r="L16" s="324">
        <f t="shared" si="12"/>
      </c>
      <c r="M16" s="78">
        <f>IF($B16="","","5")</f>
      </c>
      <c r="N16" s="78">
        <f>IF($B16="","",(IF(M16="11","551",(IF(M16="10","535",(IF(M16="9","519",(IF(M16="8","494",(IF(M16="7","471",(IF(M16="6","449",(IF(M16="5","428","ano")))))))))))))))</f>
      </c>
      <c r="O16" s="166">
        <f t="shared" si="4"/>
      </c>
      <c r="P16" s="81">
        <f t="shared" si="5"/>
      </c>
      <c r="Q16" s="85">
        <f t="shared" si="6"/>
      </c>
      <c r="R16" s="85">
        <f t="shared" si="7"/>
      </c>
      <c r="S16" s="167">
        <f>IF($B16="","",(date_réforme)+(an*2)-Z16)</f>
      </c>
      <c r="T16" s="325">
        <f t="shared" si="13"/>
      </c>
      <c r="U16" s="74">
        <f>IF($B16="","",(IF(T16="11","551",(IF(T16="10","535",(IF(T16=9,"519",(IF(T16=8,"494",(IF(T16=7,"471",(IF(T16=6,"449",(IF(T16=5,"428","ano")))))))))))))))</f>
      </c>
      <c r="V16" s="165">
        <f t="shared" si="8"/>
      </c>
      <c r="W16" s="80">
        <f t="shared" si="9"/>
      </c>
      <c r="X16" s="1">
        <f>IF($B16="","",(date_réforme-B16)*2/3)</f>
      </c>
      <c r="Y16" s="5">
        <f t="shared" si="10"/>
        <v>0</v>
      </c>
      <c r="Z16" s="5">
        <f t="shared" si="11"/>
        <v>0</v>
      </c>
    </row>
    <row r="17" spans="1:26" s="1" customFormat="1" ht="30" customHeight="1">
      <c r="A17" s="232" t="s">
        <v>69</v>
      </c>
      <c r="B17" s="332"/>
      <c r="C17" s="174"/>
      <c r="D17" s="175"/>
      <c r="E17" s="173">
        <v>3</v>
      </c>
      <c r="F17" s="74">
        <v>388</v>
      </c>
      <c r="G17" s="165">
        <f t="shared" si="0"/>
        <v>1787.6162333333332</v>
      </c>
      <c r="H17" s="83">
        <f t="shared" si="1"/>
        <v>2200.737743283409</v>
      </c>
      <c r="I17" s="88">
        <f t="shared" si="2"/>
        <v>-413.12150995007596</v>
      </c>
      <c r="J17" s="87">
        <f>IF($B17="","",(IF((date_réforme-$B17)&gt;((an*1.5)+1),"1,5 an dans échelon","pas 1,5 an dans échelon")))</f>
      </c>
      <c r="K17" s="89">
        <f>IF($B17="","",(IF((date_réforme-$B17)&gt;((an*1.5)+1),"2 fois l'anc. acquise au-delà de 1,5 an","4/3 de l'anc. acquise")))</f>
      </c>
      <c r="L17" s="324">
        <f t="shared" si="12"/>
      </c>
      <c r="M17" s="78">
        <f>IF($B17="","",(IF((date_réforme-$B17)&gt;((an*1.5)+1),"4","3")))</f>
      </c>
      <c r="N17" s="78">
        <f>IF($B17="","",(IF(M17="5","428",(IF(M17="4","410",(IF(M17="3","395",(IF(M17="2","380","365")))))))))</f>
      </c>
      <c r="O17" s="166">
        <f t="shared" si="4"/>
      </c>
      <c r="P17" s="81">
        <f t="shared" si="5"/>
      </c>
      <c r="Q17" s="85">
        <f t="shared" si="6"/>
      </c>
      <c r="R17" s="85">
        <f t="shared" si="7"/>
      </c>
      <c r="S17" s="167">
        <f>IF($B17="","",(IF((date_réforme-$B17)&gt;((an*1.5)+1),(date_réforme)+(an*2)-Z17,(date_réforme)+(an*2)-Z17)))</f>
      </c>
      <c r="T17" s="325">
        <f t="shared" si="13"/>
      </c>
      <c r="U17" s="74">
        <f>IF($B17="","",(IF(T17="6","449",(IF(T17=5,"428",(IF(T17=4,"410",(IF(T17=3,"395",(IF(T17=2,"380",(IF(T17=1,"365","ano")))))))))))))</f>
      </c>
      <c r="V17" s="165">
        <f t="shared" si="8"/>
      </c>
      <c r="W17" s="80">
        <f t="shared" si="9"/>
      </c>
      <c r="X17" s="1">
        <f>IF($B17="","",(IF((date_réforme-$B17)&gt;((an*1.5)+1),((date_réforme-B17-(an*1.5))*2),(date_réforme-B17)*4/3)))</f>
      </c>
      <c r="Y17" s="5">
        <f t="shared" si="10"/>
        <v>0</v>
      </c>
      <c r="Z17" s="5">
        <f t="shared" si="11"/>
        <v>0</v>
      </c>
    </row>
    <row r="18" spans="1:26" s="1" customFormat="1" ht="30" customHeight="1">
      <c r="A18" s="232" t="s">
        <v>69</v>
      </c>
      <c r="B18" s="332"/>
      <c r="C18" s="174"/>
      <c r="D18" s="175"/>
      <c r="E18" s="173">
        <v>2</v>
      </c>
      <c r="F18" s="74">
        <v>371</v>
      </c>
      <c r="G18" s="165">
        <f t="shared" si="0"/>
        <v>1709.2928416666666</v>
      </c>
      <c r="H18" s="83">
        <f t="shared" si="1"/>
        <v>2104.3136669024348</v>
      </c>
      <c r="I18" s="88">
        <f t="shared" si="2"/>
        <v>-395.02082523576814</v>
      </c>
      <c r="J18" s="87"/>
      <c r="K18" s="89">
        <f>IF($B18="","","4/5 de l'anc. acquise")</f>
      </c>
      <c r="L18" s="324">
        <f t="shared" si="12"/>
      </c>
      <c r="M18" s="78">
        <f>IF($B18="","","2")</f>
      </c>
      <c r="N18" s="78">
        <f>IF($B18="","",(IF(M18="5","428",(IF(M18="4","410",(IF(M18="3","395",(IF(M18="2","380",(IF(M18="1","365","ano")))))))))))</f>
      </c>
      <c r="O18" s="166">
        <f t="shared" si="4"/>
      </c>
      <c r="P18" s="81">
        <f t="shared" si="5"/>
      </c>
      <c r="Q18" s="85">
        <f t="shared" si="6"/>
      </c>
      <c r="R18" s="85">
        <f t="shared" si="7"/>
      </c>
      <c r="S18" s="167">
        <f>IF($B18="","",(date_réforme)+(an*2)-Z18)</f>
      </c>
      <c r="T18" s="325">
        <f t="shared" si="13"/>
      </c>
      <c r="U18" s="74">
        <f>IF($B18="","",(IF(T18="6","449",(IF(T18=5,"428",(IF(T18=4,"410",(IF(T18=3,"395",(IF(T18=2,"380",(IF(T18=1,"365","ano")))))))))))))</f>
      </c>
      <c r="V18" s="165">
        <f t="shared" si="8"/>
      </c>
      <c r="W18" s="80">
        <f>IF($B18="","",V18-G18)</f>
      </c>
      <c r="X18" s="1">
        <f>IF($B18="","",(date_réforme-B18)*4/5)</f>
      </c>
      <c r="Y18" s="5">
        <f t="shared" si="10"/>
        <v>0</v>
      </c>
      <c r="Z18" s="5">
        <f>SUM(X18:Y18)</f>
        <v>0</v>
      </c>
    </row>
    <row r="19" spans="1:26" s="1" customFormat="1" ht="30" customHeight="1" thickBot="1">
      <c r="A19" s="233" t="s">
        <v>69</v>
      </c>
      <c r="B19" s="234"/>
      <c r="C19" s="333"/>
      <c r="D19" s="334"/>
      <c r="E19" s="176">
        <v>1</v>
      </c>
      <c r="F19" s="120">
        <v>357</v>
      </c>
      <c r="G19" s="170">
        <f t="shared" si="0"/>
        <v>1644.791225</v>
      </c>
      <c r="H19" s="115">
        <f t="shared" si="1"/>
        <v>2024.9056040004564</v>
      </c>
      <c r="I19" s="116">
        <f t="shared" si="2"/>
        <v>-380.11437900045644</v>
      </c>
      <c r="J19" s="117">
        <f>IF($B19="","",(IF((date_réforme-$B19)&gt;(an-1),"1 an dans échelon","pas 1 an dans échelon")))</f>
      </c>
      <c r="K19" s="117">
        <f>IF($B19="","",(IF((date_réforme-$B19)&gt;(an-1),"anc. acquise","")))</f>
      </c>
      <c r="L19" s="326">
        <f t="shared" si="12"/>
      </c>
      <c r="M19" s="113">
        <f>IF($B19="","","1")</f>
      </c>
      <c r="N19" s="78">
        <f>IF($B19="","",(IF(M19="5","428",(IF(M19="4","410",(IF(M19="3","395",(IF(M19="2","380",(IF(M19="1","365","ano")))))))))))</f>
      </c>
      <c r="O19" s="168">
        <f t="shared" si="4"/>
      </c>
      <c r="P19" s="126">
        <f t="shared" si="5"/>
      </c>
      <c r="Q19" s="123">
        <f t="shared" si="6"/>
      </c>
      <c r="R19" s="123">
        <f t="shared" si="7"/>
      </c>
      <c r="S19" s="167">
        <f>IF($B19="","",(date_réforme)+an-Z19)</f>
      </c>
      <c r="T19" s="327">
        <f t="shared" si="13"/>
      </c>
      <c r="U19" s="120">
        <f>IF($B19="","",(IF(T19="6","449",(IF(T19=5,"428",(IF(T19=4,"410",(IF(T19=3,"395",(IF(T19=2,"380",(IF(T19=1,"365","ano")))))))))))))</f>
      </c>
      <c r="V19" s="170">
        <f t="shared" si="8"/>
      </c>
      <c r="W19" s="122">
        <f>IF($B19="","",V19-G19)</f>
      </c>
      <c r="X19" s="1">
        <f>IF($B19="","",(IF((date_réforme-$B19)&gt;((an)-1),((date_réforme-B19-(an))),"")))</f>
      </c>
      <c r="Y19" s="5">
        <f t="shared" si="10"/>
        <v>0</v>
      </c>
      <c r="Z19" s="5">
        <f>SUM(X19:Y19)</f>
        <v>0</v>
      </c>
    </row>
    <row r="20" spans="1:26" s="1" customFormat="1" ht="30" customHeight="1" thickBot="1" thickTop="1">
      <c r="A20" s="93" t="s">
        <v>70</v>
      </c>
      <c r="B20" s="65"/>
      <c r="C20" s="71"/>
      <c r="D20" s="72"/>
      <c r="E20" s="96">
        <v>13</v>
      </c>
      <c r="F20" s="96">
        <v>473</v>
      </c>
      <c r="G20" s="97">
        <f t="shared" si="0"/>
        <v>2179.2331916666667</v>
      </c>
      <c r="H20" s="98">
        <f t="shared" si="1"/>
        <v>2682.8581251882797</v>
      </c>
      <c r="I20" s="99">
        <f t="shared" si="2"/>
        <v>-503.624933521613</v>
      </c>
      <c r="J20" s="100">
        <f>IF($B20="","",(IF((date_réforme-$B20)&gt;(an*4),"4 ans dans échelon","pas 4 ans dans échelon")))</f>
      </c>
      <c r="K20" s="101">
        <f>IF($B20="","",(IF((date_réforme-$B20)&gt;((an*4)),"reclassement au-delà","anc. acquise")))</f>
      </c>
      <c r="L20" s="335">
        <f>IF(B20="","","2ème")</f>
      </c>
      <c r="M20" s="103">
        <f>IF($B20="","",(IF((date_réforme-$B20)&gt;(an*4),"13","12")))</f>
      </c>
      <c r="N20" s="103">
        <f>IF($B20="","",(IF(M20="13","515",(IF(M20="12","491",(IF(M20="11","468",(IF(M20="10","445","ano")))))))))</f>
      </c>
      <c r="O20" s="104">
        <f t="shared" si="4"/>
      </c>
      <c r="P20" s="105">
        <f t="shared" si="5"/>
      </c>
      <c r="Q20" s="106">
        <f t="shared" si="6"/>
      </c>
      <c r="R20" s="106">
        <f t="shared" si="7"/>
      </c>
      <c r="S20" s="143">
        <f>IF($B20="","",(IF((date_réforme-$B20)&gt;(an*4),"sommet",(date_réforme)+(an*4)-Z20)))</f>
      </c>
      <c r="T20" s="108">
        <f>IF($M20="","",IF($M20="13",13,M20+1))</f>
      </c>
      <c r="U20" s="96">
        <f>IF($B20="","",(IF(T20=13,"515",(IF(T20="12","491",(IF(T20="11","468",(IF(T20="10","445","ano")))))))))</f>
      </c>
      <c r="V20" s="97">
        <f t="shared" si="8"/>
      </c>
      <c r="W20" s="109">
        <f>IF($B20="","",V20-G20)</f>
      </c>
      <c r="X20" s="1">
        <f>IF($B20="","",(IF((date_réforme-$B20)&gt;(an*4),"0",(date_réforme-B20))))</f>
      </c>
      <c r="Y20" s="5">
        <f t="shared" si="10"/>
        <v>0</v>
      </c>
      <c r="Z20" s="5">
        <f>SUM(X20:Y20)</f>
        <v>0</v>
      </c>
    </row>
    <row r="21" spans="1:26" s="1" customFormat="1" ht="30" customHeight="1" thickTop="1">
      <c r="A21" s="62" t="s">
        <v>70</v>
      </c>
      <c r="B21" s="321"/>
      <c r="C21" s="66"/>
      <c r="D21" s="67"/>
      <c r="E21" s="82">
        <v>12</v>
      </c>
      <c r="F21" s="78">
        <v>449</v>
      </c>
      <c r="G21" s="79">
        <f t="shared" si="0"/>
        <v>2068.6589916666667</v>
      </c>
      <c r="H21" s="83">
        <f t="shared" si="1"/>
        <v>2546.7300173563162</v>
      </c>
      <c r="I21" s="88">
        <f t="shared" si="2"/>
        <v>-478.07102568964956</v>
      </c>
      <c r="J21" s="87"/>
      <c r="K21" s="89">
        <f aca="true" t="shared" si="14" ref="K21:K26">IF($B21="","","anc. acquise")</f>
      </c>
      <c r="L21" s="336">
        <f aca="true" t="shared" si="15" ref="L21:L32">IF(B21="","","2ème")</f>
      </c>
      <c r="M21" s="74">
        <f>IF($B21="","","11")</f>
      </c>
      <c r="N21" s="74">
        <f>IF($B21="","",(IF(M21="13","515",(IF(M21="12","491",(IF(M21="11","468",(IF(M21="10","445","ano")))))))))</f>
      </c>
      <c r="O21" s="75">
        <f t="shared" si="4"/>
      </c>
      <c r="P21" s="80">
        <f t="shared" si="5"/>
      </c>
      <c r="Q21" s="85">
        <f t="shared" si="6"/>
      </c>
      <c r="R21" s="85">
        <f t="shared" si="7"/>
      </c>
      <c r="S21" s="76">
        <f>IF($B21="","",((date_réforme)+(an*4)-Z21))</f>
      </c>
      <c r="T21" s="77">
        <f>IF($M21="","",M21+1)</f>
      </c>
      <c r="U21" s="78">
        <f>IF($B21="","",(IF(T21=13,"515",(IF(T21=12,"491",(IF(T21="11","468",(IF(T21="10","445","ano")))))))))</f>
      </c>
      <c r="V21" s="79">
        <f t="shared" si="8"/>
      </c>
      <c r="W21" s="81">
        <f>IF($B21="","",V21-G21)</f>
      </c>
      <c r="X21" s="89">
        <f aca="true" t="shared" si="16" ref="X21:X26">IF($B21="","",(date_réforme-B21))</f>
      </c>
      <c r="Y21" s="5">
        <f t="shared" si="10"/>
        <v>0</v>
      </c>
      <c r="Z21" s="5">
        <f>SUM(X21:Y21)</f>
        <v>0</v>
      </c>
    </row>
    <row r="22" spans="1:26" s="1" customFormat="1" ht="30" customHeight="1">
      <c r="A22" s="62" t="s">
        <v>70</v>
      </c>
      <c r="B22" s="321"/>
      <c r="C22" s="57"/>
      <c r="D22" s="68"/>
      <c r="E22" s="82">
        <v>11</v>
      </c>
      <c r="F22" s="78">
        <v>428</v>
      </c>
      <c r="G22" s="79">
        <f t="shared" si="0"/>
        <v>1971.9065666666665</v>
      </c>
      <c r="H22" s="83">
        <f t="shared" si="1"/>
        <v>2427.617923003348</v>
      </c>
      <c r="I22" s="88">
        <f t="shared" si="2"/>
        <v>-455.71135633668155</v>
      </c>
      <c r="J22" s="87"/>
      <c r="K22" s="89">
        <f t="shared" si="14"/>
      </c>
      <c r="L22" s="336">
        <f t="shared" si="15"/>
      </c>
      <c r="M22" s="74">
        <f>IF($B22="","","10")</f>
      </c>
      <c r="N22" s="74">
        <f>IF($B22="","",(IF(M22="13","515",(IF(M22="12","491",(IF(M22="11","468",(IF(M22="10","445","ano")))))))))</f>
      </c>
      <c r="O22" s="75">
        <f t="shared" si="4"/>
      </c>
      <c r="P22" s="80">
        <f t="shared" si="5"/>
      </c>
      <c r="Q22" s="85">
        <f aca="true" t="shared" si="17" ref="Q22:Q28">IF($B22="","",(N22*valeur_IM_SMIC))</f>
      </c>
      <c r="R22" s="85">
        <f t="shared" si="7"/>
      </c>
      <c r="S22" s="76">
        <f aca="true" t="shared" si="18" ref="S22:S27">IF($B22="","",((date_réforme)+(an*3)-Z22))</f>
      </c>
      <c r="T22" s="77">
        <f aca="true" t="shared" si="19" ref="T22:T28">IF($M22="","",M22+1)</f>
      </c>
      <c r="U22" s="78">
        <f>IF($B22="","",(IF(T22=13,"515",(IF(T22=12,"491",(IF(T22=11,"468",(IF(T22="10","445","ano")))))))))</f>
      </c>
      <c r="V22" s="79">
        <f t="shared" si="8"/>
      </c>
      <c r="W22" s="81">
        <f aca="true" t="shared" si="20" ref="W22:W28">IF($B22="","",V22-G22)</f>
      </c>
      <c r="X22" s="89">
        <f t="shared" si="16"/>
      </c>
      <c r="Y22" s="5">
        <f aca="true" t="shared" si="21" ref="Y22:Y28">(C22*(an/12))+D22</f>
        <v>0</v>
      </c>
      <c r="Z22" s="5">
        <f aca="true" t="shared" si="22" ref="Z22:Z28">SUM(X22:Y22)</f>
        <v>0</v>
      </c>
    </row>
    <row r="23" spans="1:26" s="1" customFormat="1" ht="30" customHeight="1">
      <c r="A23" s="62" t="s">
        <v>70</v>
      </c>
      <c r="B23" s="321"/>
      <c r="C23" s="57"/>
      <c r="D23" s="68"/>
      <c r="E23" s="82">
        <v>10</v>
      </c>
      <c r="F23" s="78">
        <v>412</v>
      </c>
      <c r="G23" s="79">
        <f t="shared" si="0"/>
        <v>1898.1904333333332</v>
      </c>
      <c r="H23" s="83">
        <f t="shared" si="1"/>
        <v>2336.8658511153726</v>
      </c>
      <c r="I23" s="88">
        <f t="shared" si="2"/>
        <v>-438.6754177820394</v>
      </c>
      <c r="J23" s="87"/>
      <c r="K23" s="89">
        <f t="shared" si="14"/>
      </c>
      <c r="L23" s="336">
        <f t="shared" si="15"/>
      </c>
      <c r="M23" s="74">
        <f>IF($B23="","","9")</f>
      </c>
      <c r="N23" s="74">
        <f>IF($B23="","",(IF(M23="9","425",(IF(M23="8","405",(IF(M23="7","390",(IF(M23="6","375","ano")))))))))</f>
      </c>
      <c r="O23" s="75">
        <f t="shared" si="4"/>
      </c>
      <c r="P23" s="80">
        <f t="shared" si="5"/>
      </c>
      <c r="Q23" s="85">
        <f t="shared" si="17"/>
      </c>
      <c r="R23" s="85">
        <f t="shared" si="7"/>
      </c>
      <c r="S23" s="76">
        <f t="shared" si="18"/>
      </c>
      <c r="T23" s="77">
        <f t="shared" si="19"/>
      </c>
      <c r="U23" s="78">
        <f>IF($B23="","",(IF(T23=13,"515",(IF(T23=12,"491",(IF(T23=11,"468",(IF(T23=10,"445","ano")))))))))</f>
      </c>
      <c r="V23" s="79">
        <f t="shared" si="8"/>
      </c>
      <c r="W23" s="81">
        <f t="shared" si="20"/>
      </c>
      <c r="X23" s="89">
        <f t="shared" si="16"/>
      </c>
      <c r="Y23" s="5">
        <f t="shared" si="21"/>
        <v>0</v>
      </c>
      <c r="Z23" s="5">
        <f t="shared" si="22"/>
        <v>0</v>
      </c>
    </row>
    <row r="24" spans="1:26" s="1" customFormat="1" ht="30" customHeight="1">
      <c r="A24" s="62" t="s">
        <v>70</v>
      </c>
      <c r="B24" s="321"/>
      <c r="C24" s="57"/>
      <c r="D24" s="68"/>
      <c r="E24" s="82">
        <v>9</v>
      </c>
      <c r="F24" s="78">
        <v>395</v>
      </c>
      <c r="G24" s="79">
        <f t="shared" si="0"/>
        <v>1819.8670416666666</v>
      </c>
      <c r="H24" s="83">
        <f t="shared" si="1"/>
        <v>2240.441774734398</v>
      </c>
      <c r="I24" s="88">
        <f t="shared" si="2"/>
        <v>-420.5747330677316</v>
      </c>
      <c r="J24" s="87"/>
      <c r="K24" s="89">
        <f t="shared" si="14"/>
      </c>
      <c r="L24" s="336">
        <f t="shared" si="15"/>
      </c>
      <c r="M24" s="74">
        <f>IF($B24="","","8")</f>
      </c>
      <c r="N24" s="74">
        <f>IF($B24="","",(IF(M24="9","425",(IF(M24="8","405",(IF(M24="7","390",(IF(M24="6","375","ano")))))))))</f>
      </c>
      <c r="O24" s="75">
        <f t="shared" si="4"/>
      </c>
      <c r="P24" s="80">
        <f t="shared" si="5"/>
      </c>
      <c r="Q24" s="85">
        <f t="shared" si="17"/>
      </c>
      <c r="R24" s="85">
        <f t="shared" si="7"/>
      </c>
      <c r="S24" s="76">
        <f t="shared" si="18"/>
      </c>
      <c r="T24" s="77">
        <f t="shared" si="19"/>
      </c>
      <c r="U24" s="78">
        <f>IF($B24="","",(IF(T24=9,"425",(IF(T24=8,"405",(IF(T24=7,"390",(IF(T24=6,"375","ano")))))))))</f>
      </c>
      <c r="V24" s="79">
        <f t="shared" si="8"/>
      </c>
      <c r="W24" s="81">
        <f t="shared" si="20"/>
      </c>
      <c r="X24" s="89">
        <f t="shared" si="16"/>
      </c>
      <c r="Y24" s="5">
        <f t="shared" si="21"/>
        <v>0</v>
      </c>
      <c r="Z24" s="5">
        <f t="shared" si="22"/>
        <v>0</v>
      </c>
    </row>
    <row r="25" spans="1:26" s="1" customFormat="1" ht="30" customHeight="1">
      <c r="A25" s="62" t="s">
        <v>70</v>
      </c>
      <c r="B25" s="321"/>
      <c r="C25" s="57"/>
      <c r="D25" s="68"/>
      <c r="E25" s="82">
        <v>8</v>
      </c>
      <c r="F25" s="78">
        <v>381</v>
      </c>
      <c r="G25" s="79">
        <f t="shared" si="0"/>
        <v>1755.365425</v>
      </c>
      <c r="H25" s="83">
        <f t="shared" si="1"/>
        <v>2161.0337118324196</v>
      </c>
      <c r="I25" s="88">
        <f t="shared" si="2"/>
        <v>-405.66828683241965</v>
      </c>
      <c r="J25" s="87"/>
      <c r="K25" s="89">
        <f t="shared" si="14"/>
      </c>
      <c r="L25" s="336">
        <f t="shared" si="15"/>
      </c>
      <c r="M25" s="74">
        <f>IF($B25="","","7")</f>
      </c>
      <c r="N25" s="74">
        <f>IF($B25="","",(IF(M25="9","425",(IF(M25="8","405",(IF(M25="7","390",(IF(M25="6","375","ano")))))))))</f>
      </c>
      <c r="O25" s="75">
        <f t="shared" si="4"/>
      </c>
      <c r="P25" s="80">
        <f t="shared" si="5"/>
      </c>
      <c r="Q25" s="85">
        <f t="shared" si="17"/>
      </c>
      <c r="R25" s="85">
        <f t="shared" si="7"/>
      </c>
      <c r="S25" s="76">
        <f t="shared" si="18"/>
      </c>
      <c r="T25" s="77">
        <f t="shared" si="19"/>
      </c>
      <c r="U25" s="78">
        <f>IF($B25="","",(IF(T25=9,"425",(IF(T25=8,"405",(IF(T25=7,"390",(IF(T25=6,"375","ano")))))))))</f>
      </c>
      <c r="V25" s="79">
        <f t="shared" si="8"/>
      </c>
      <c r="W25" s="81">
        <f t="shared" si="20"/>
      </c>
      <c r="X25" s="89">
        <f t="shared" si="16"/>
      </c>
      <c r="Y25" s="5">
        <f t="shared" si="21"/>
        <v>0</v>
      </c>
      <c r="Z25" s="5">
        <f t="shared" si="22"/>
        <v>0</v>
      </c>
    </row>
    <row r="26" spans="1:26" s="1" customFormat="1" ht="30" customHeight="1">
      <c r="A26" s="62" t="s">
        <v>70</v>
      </c>
      <c r="B26" s="321"/>
      <c r="C26" s="57"/>
      <c r="D26" s="68"/>
      <c r="E26" s="82">
        <v>7</v>
      </c>
      <c r="F26" s="78">
        <v>369</v>
      </c>
      <c r="G26" s="79">
        <f t="shared" si="0"/>
        <v>1700.078325</v>
      </c>
      <c r="H26" s="83">
        <f t="shared" si="1"/>
        <v>2092.969657916438</v>
      </c>
      <c r="I26" s="88">
        <f t="shared" si="2"/>
        <v>-392.89133291643793</v>
      </c>
      <c r="J26" s="87"/>
      <c r="K26" s="89">
        <f t="shared" si="14"/>
      </c>
      <c r="L26" s="336">
        <f t="shared" si="15"/>
      </c>
      <c r="M26" s="74">
        <f>IF($B26="","","6")</f>
      </c>
      <c r="N26" s="74">
        <f>IF($B26="","",(IF(M26="9","425",(IF(M26="8","405",(IF(M26="7","390",(IF(M26="6","375","ano")))))))))</f>
      </c>
      <c r="O26" s="75">
        <f t="shared" si="4"/>
      </c>
      <c r="P26" s="80">
        <f t="shared" si="5"/>
      </c>
      <c r="Q26" s="85">
        <f t="shared" si="17"/>
      </c>
      <c r="R26" s="85">
        <f t="shared" si="7"/>
      </c>
      <c r="S26" s="76">
        <f t="shared" si="18"/>
      </c>
      <c r="T26" s="77">
        <f t="shared" si="19"/>
      </c>
      <c r="U26" s="78">
        <f>IF($B26="","",(IF(T26=9,"425",(IF(T26=8,"405",(IF(T26=7,"390",(IF(T26=6,"375","ano")))))))))</f>
      </c>
      <c r="V26" s="79">
        <f t="shared" si="8"/>
      </c>
      <c r="W26" s="81">
        <f t="shared" si="20"/>
      </c>
      <c r="X26" s="89">
        <f t="shared" si="16"/>
      </c>
      <c r="Y26" s="5">
        <f t="shared" si="21"/>
        <v>0</v>
      </c>
      <c r="Z26" s="5">
        <f t="shared" si="22"/>
        <v>0</v>
      </c>
    </row>
    <row r="27" spans="1:26" s="1" customFormat="1" ht="30" customHeight="1">
      <c r="A27" s="62" t="s">
        <v>70</v>
      </c>
      <c r="B27" s="321"/>
      <c r="C27" s="57"/>
      <c r="D27" s="68"/>
      <c r="E27" s="82">
        <v>6</v>
      </c>
      <c r="F27" s="78">
        <v>360</v>
      </c>
      <c r="G27" s="79">
        <f t="shared" si="0"/>
        <v>1658.613</v>
      </c>
      <c r="H27" s="83">
        <f t="shared" si="1"/>
        <v>2041.9216174794517</v>
      </c>
      <c r="I27" s="88">
        <f t="shared" si="2"/>
        <v>-383.30861747945164</v>
      </c>
      <c r="J27" s="87"/>
      <c r="K27" s="89">
        <f>IF($B27="","","anc. acquise + 1 an")</f>
      </c>
      <c r="L27" s="336">
        <f t="shared" si="15"/>
      </c>
      <c r="M27" s="74">
        <f>IF($B27="","","5")</f>
      </c>
      <c r="N27" s="74">
        <f aca="true" t="shared" si="23" ref="N27:N32">IF($B27="","",(IF(M27="5","361",(IF(M27="4","348",(IF(M27="3","340",(IF(M27="2","332",(IF(M27="1","327","ano")))))))))))</f>
      </c>
      <c r="O27" s="75">
        <f t="shared" si="4"/>
      </c>
      <c r="P27" s="80">
        <f t="shared" si="5"/>
      </c>
      <c r="Q27" s="85">
        <f t="shared" si="17"/>
      </c>
      <c r="R27" s="85">
        <f t="shared" si="7"/>
      </c>
      <c r="S27" s="76">
        <f t="shared" si="18"/>
      </c>
      <c r="T27" s="77">
        <f t="shared" si="19"/>
      </c>
      <c r="U27" s="78">
        <f>IF($B27="","",(IF(T27=9,"425",(IF(T27=8,"405",(IF(T27=7,"390",(IF(T27=6,"375","ano")))))))))</f>
      </c>
      <c r="V27" s="79">
        <f t="shared" si="8"/>
      </c>
      <c r="W27" s="81">
        <f t="shared" si="20"/>
      </c>
      <c r="X27" s="89">
        <f>IF($B27="","",(date_réforme-B27+an))</f>
      </c>
      <c r="Y27" s="5">
        <f t="shared" si="21"/>
        <v>0</v>
      </c>
      <c r="Z27" s="5">
        <f t="shared" si="22"/>
        <v>0</v>
      </c>
    </row>
    <row r="28" spans="1:26" s="1" customFormat="1" ht="30" customHeight="1">
      <c r="A28" s="62" t="s">
        <v>70</v>
      </c>
      <c r="B28" s="321"/>
      <c r="C28" s="57"/>
      <c r="D28" s="68"/>
      <c r="E28" s="82">
        <v>5</v>
      </c>
      <c r="F28" s="78">
        <v>350</v>
      </c>
      <c r="G28" s="79">
        <f t="shared" si="0"/>
        <v>1612.5404166666667</v>
      </c>
      <c r="H28" s="83">
        <f t="shared" si="1"/>
        <v>1985.2015725494668</v>
      </c>
      <c r="I28" s="88">
        <f t="shared" si="2"/>
        <v>-372.66115588280013</v>
      </c>
      <c r="J28" s="87">
        <f>IF($B28="","",(IF((date_réforme-$B28)&gt;(an-1),"1 an dans échelon","pas 1 an dans échelon")))</f>
      </c>
      <c r="K28" s="89">
        <f>IF($B28="","",(IF((date_réforme-$B28)&gt;(an-1),"anc. acquise au-delà de 1 an","1/2 de l'anc. acquise")))</f>
      </c>
      <c r="L28" s="336">
        <f t="shared" si="15"/>
      </c>
      <c r="M28" s="74">
        <f>IF($B28="","","5")</f>
      </c>
      <c r="N28" s="74">
        <f t="shared" si="23"/>
      </c>
      <c r="O28" s="75">
        <f t="shared" si="4"/>
      </c>
      <c r="P28" s="80">
        <f t="shared" si="5"/>
      </c>
      <c r="Q28" s="85">
        <f t="shared" si="17"/>
      </c>
      <c r="R28" s="85">
        <f t="shared" si="7"/>
      </c>
      <c r="S28" s="76">
        <f>IF($B28="","",(IF((date_réforme-$B28)&gt;(an-1),(date_réforme)+(an*3)-Z28,(date_réforme)+(an*3)-Z28)))</f>
      </c>
      <c r="T28" s="77">
        <f t="shared" si="19"/>
      </c>
      <c r="U28" s="78">
        <f>IF($B28="","",(IF(T28=9,"425",(IF(T28=8,"405",(IF(T28=7,"390",(IF(T28=6,"375","ano")))))))))</f>
      </c>
      <c r="V28" s="79">
        <f t="shared" si="8"/>
      </c>
      <c r="W28" s="81">
        <f t="shared" si="20"/>
      </c>
      <c r="X28" s="1">
        <f>IF($B28="","",(IF((date_réforme-$B28)&gt;(an-1),(date_réforme-B28-an),(date_réforme-B28)/2)))</f>
      </c>
      <c r="Y28" s="5">
        <f t="shared" si="21"/>
        <v>0</v>
      </c>
      <c r="Z28" s="5">
        <f t="shared" si="22"/>
        <v>0</v>
      </c>
    </row>
    <row r="29" spans="1:26" s="1" customFormat="1" ht="30" customHeight="1">
      <c r="A29" s="62" t="s">
        <v>70</v>
      </c>
      <c r="B29" s="321"/>
      <c r="C29" s="57"/>
      <c r="D29" s="68"/>
      <c r="E29" s="82">
        <v>4</v>
      </c>
      <c r="F29" s="78">
        <v>336</v>
      </c>
      <c r="G29" s="79">
        <f t="shared" si="0"/>
        <v>1548.0388</v>
      </c>
      <c r="H29" s="83">
        <f t="shared" si="1"/>
        <v>1905.7935096474882</v>
      </c>
      <c r="I29" s="88">
        <f t="shared" si="2"/>
        <v>-357.7547096474882</v>
      </c>
      <c r="J29" s="87"/>
      <c r="K29" s="89">
        <f>IF($B29="","","4/3 de l'anc. acquise")</f>
      </c>
      <c r="L29" s="336">
        <f t="shared" si="15"/>
      </c>
      <c r="M29" s="74">
        <f>IF($B29="","","4")</f>
      </c>
      <c r="N29" s="74">
        <f t="shared" si="23"/>
      </c>
      <c r="O29" s="75">
        <f t="shared" si="4"/>
      </c>
      <c r="P29" s="80">
        <f>IF($B29="","",O29-G29)</f>
      </c>
      <c r="Q29" s="85">
        <f>IF($B29="","",(N29*valeur_IM_SMIC))</f>
      </c>
      <c r="R29" s="85">
        <f>IF($B29="","",O29-H29)</f>
      </c>
      <c r="S29" s="76">
        <f>IF($B29="","",((date_réforme)+(an*2)-Z29))</f>
      </c>
      <c r="T29" s="77">
        <f>IF($M29="","",M29+1)</f>
      </c>
      <c r="U29" s="78">
        <f>IF($B29="","",(IF(T29=5,"361",(IF(T29=4,"348",(IF(T29=3,"340",(IF(T29=2,"332","ano")))))))))</f>
      </c>
      <c r="V29" s="79">
        <f t="shared" si="8"/>
      </c>
      <c r="W29" s="81">
        <f>IF($B29="","",V29-G29)</f>
      </c>
      <c r="X29" s="1">
        <f>IF($B29="","",(date_réforme-B29)*4/3)</f>
      </c>
      <c r="Y29" s="5">
        <f>(C29*(an/12))+D29</f>
        <v>0</v>
      </c>
      <c r="Z29" s="5">
        <f>SUM(X29:Y29)</f>
        <v>0</v>
      </c>
    </row>
    <row r="30" spans="1:26" s="1" customFormat="1" ht="30" customHeight="1">
      <c r="A30" s="62" t="s">
        <v>70</v>
      </c>
      <c r="B30" s="321"/>
      <c r="C30" s="57"/>
      <c r="D30" s="68"/>
      <c r="E30" s="82">
        <v>3</v>
      </c>
      <c r="F30" s="78">
        <v>325</v>
      </c>
      <c r="G30" s="79">
        <f t="shared" si="0"/>
        <v>1497.3589583333332</v>
      </c>
      <c r="H30" s="83">
        <f t="shared" si="1"/>
        <v>1843.401460224505</v>
      </c>
      <c r="I30" s="88">
        <f t="shared" si="2"/>
        <v>-346.0425018911717</v>
      </c>
      <c r="J30" s="87"/>
      <c r="K30" s="89">
        <f>IF($B30="","","4/3 de l'anc. acquise")</f>
      </c>
      <c r="L30" s="336">
        <f t="shared" si="15"/>
      </c>
      <c r="M30" s="74">
        <f>IF($B30="","","3")</f>
      </c>
      <c r="N30" s="74">
        <f t="shared" si="23"/>
      </c>
      <c r="O30" s="75">
        <f t="shared" si="4"/>
      </c>
      <c r="P30" s="80">
        <f>IF($B30="","",O30-G30)</f>
      </c>
      <c r="Q30" s="85">
        <f>IF($B30="","",(N30*valeur_IM_SMIC))</f>
      </c>
      <c r="R30" s="85">
        <f>IF($B30="","",O30-H30)</f>
      </c>
      <c r="S30" s="76">
        <f>IF($B30="","",((date_réforme)+(an*2)-Z30))</f>
      </c>
      <c r="T30" s="77">
        <f>IF($M30="","",M30+1)</f>
      </c>
      <c r="U30" s="78">
        <f>IF($B30="","",(IF(T30=5,"361",(IF(T30=4,"348",(IF(T30=3,"340",(IF(T30=2,"332","ano")))))))))</f>
      </c>
      <c r="V30" s="79">
        <f t="shared" si="8"/>
      </c>
      <c r="W30" s="81">
        <f>IF($B30="","",V30-G30)</f>
      </c>
      <c r="X30" s="1">
        <f>IF($B30="","",(date_réforme-B30)*4/3)</f>
      </c>
      <c r="Y30" s="5">
        <f>(C30*(an/12))+D30</f>
        <v>0</v>
      </c>
      <c r="Z30" s="5">
        <f>SUM(X30:Y30)</f>
        <v>0</v>
      </c>
    </row>
    <row r="31" spans="1:26" s="1" customFormat="1" ht="30" customHeight="1">
      <c r="A31" s="62" t="s">
        <v>70</v>
      </c>
      <c r="B31" s="321"/>
      <c r="C31" s="57"/>
      <c r="D31" s="68"/>
      <c r="E31" s="82">
        <v>2</v>
      </c>
      <c r="F31" s="78">
        <v>318</v>
      </c>
      <c r="G31" s="79">
        <f t="shared" si="0"/>
        <v>1465.10815</v>
      </c>
      <c r="H31" s="83">
        <f t="shared" si="1"/>
        <v>1803.6974287735156</v>
      </c>
      <c r="I31" s="88">
        <f t="shared" si="2"/>
        <v>-338.5892787735156</v>
      </c>
      <c r="J31" s="87">
        <f>IF($B31="","",(IF((date_réforme-$B31)&gt;(an-1),"1 an dans échelon","pas 1 an dans échelon")))</f>
      </c>
      <c r="K31" s="89">
        <f>IF($B31="","",(IF((date_réforme-$B31)&gt;(an-1),"4 fois l'anc. acquise au-delà de 1 an","anc. acquise")))</f>
      </c>
      <c r="L31" s="336">
        <f t="shared" si="15"/>
      </c>
      <c r="M31" s="74">
        <f>IF($B31="","",(IF((date_réforme-$B31)&gt;(an-1),"2","1")))</f>
      </c>
      <c r="N31" s="74">
        <f t="shared" si="23"/>
      </c>
      <c r="O31" s="75">
        <f t="shared" si="4"/>
      </c>
      <c r="P31" s="80">
        <f>IF($B31="","",O31-G31)</f>
      </c>
      <c r="Q31" s="85">
        <f>IF($B31="","",(N31*valeur_IM_SMIC))</f>
      </c>
      <c r="R31" s="85">
        <f>IF($B31="","",O31-H31)</f>
      </c>
      <c r="S31" s="76">
        <f>IF($B31="","",(IF((date_réforme-$B31)&gt;(an-1),(date_réforme)+(an*2)-Z31,(date_réforme)+(an)-Z31)))</f>
      </c>
      <c r="T31" s="77">
        <f>IF($M31="","",M31+1)</f>
      </c>
      <c r="U31" s="78">
        <f>IF($B31="","",(IF(T31=5,"361",(IF(T31=4,"348",(IF(T31=3,"340",(IF(T31=2,"332","ano")))))))))</f>
      </c>
      <c r="V31" s="79">
        <f t="shared" si="8"/>
      </c>
      <c r="W31" s="81">
        <f>IF($B31="","",V31-G31)</f>
      </c>
      <c r="X31" s="1">
        <f>IF($B31="","",(IF((date_réforme-$B31)&gt;(an-1),((date_réforme-B31-an)*4),(date_réforme-B31))))</f>
      </c>
      <c r="Y31" s="5">
        <f>(C31*(an/12))+D31</f>
        <v>0</v>
      </c>
      <c r="Z31" s="5">
        <f>SUM(X31:Y31)</f>
        <v>0</v>
      </c>
    </row>
    <row r="32" spans="1:26" s="1" customFormat="1" ht="30" customHeight="1" thickBot="1">
      <c r="A32" s="127" t="s">
        <v>70</v>
      </c>
      <c r="B32" s="64"/>
      <c r="C32" s="69"/>
      <c r="D32" s="70"/>
      <c r="E32" s="128">
        <v>1</v>
      </c>
      <c r="F32" s="129">
        <v>308</v>
      </c>
      <c r="G32" s="130">
        <f t="shared" si="0"/>
        <v>1419.0355666666667</v>
      </c>
      <c r="H32" s="131">
        <f t="shared" si="1"/>
        <v>1746.977383843531</v>
      </c>
      <c r="I32" s="132">
        <f t="shared" si="2"/>
        <v>-327.94181717686433</v>
      </c>
      <c r="J32" s="91"/>
      <c r="K32" s="92">
        <f>IF($B32="","","sans ancienneté")</f>
      </c>
      <c r="L32" s="337">
        <f t="shared" si="15"/>
      </c>
      <c r="M32" s="134">
        <f>IF($B32="","","1")</f>
      </c>
      <c r="N32" s="134">
        <f t="shared" si="23"/>
      </c>
      <c r="O32" s="135">
        <f t="shared" si="4"/>
      </c>
      <c r="P32" s="136">
        <f>IF($B32="","",O32-G32)</f>
      </c>
      <c r="Q32" s="137">
        <f>IF($B32="","",(N32*valeur_IM_SMIC))</f>
      </c>
      <c r="R32" s="137">
        <f>IF($B32="","",O32-H32)</f>
      </c>
      <c r="S32" s="138">
        <f>IF($B32="","",((date_réforme)+(an)-Z32))</f>
      </c>
      <c r="T32" s="139">
        <f>IF($M32="","",M32+1)</f>
      </c>
      <c r="U32" s="129">
        <f>IF($B32="","",(IF(T32=5,"361",(IF(T32=4,"348",(IF(T32=3,"340",(IF(T32=2,"332","ano")))))))))</f>
      </c>
      <c r="V32" s="130">
        <f t="shared" si="8"/>
      </c>
      <c r="W32" s="140">
        <f>IF($B32="","",V32-G32)</f>
      </c>
      <c r="X32" s="89"/>
      <c r="Y32" s="5">
        <f>(C32*(an/12))+D32</f>
        <v>0</v>
      </c>
      <c r="Z32" s="5">
        <f>SUM(X32:Y32)</f>
        <v>0</v>
      </c>
    </row>
    <row r="33" spans="2:25" s="48" customFormat="1" ht="6" customHeight="1" thickTop="1">
      <c r="B33" s="49"/>
      <c r="C33" s="50"/>
      <c r="D33" s="50"/>
      <c r="E33" s="51"/>
      <c r="G33" s="52"/>
      <c r="H33" s="53"/>
      <c r="I33" s="53"/>
      <c r="O33" s="50"/>
      <c r="P33" s="51"/>
      <c r="Q33" s="53"/>
      <c r="R33" s="54"/>
      <c r="S33" s="49"/>
      <c r="T33" s="55"/>
      <c r="W33" s="51"/>
      <c r="Y33" s="50"/>
    </row>
    <row r="34" spans="1:25" s="48" customFormat="1" ht="15">
      <c r="A34" s="179" t="s">
        <v>53</v>
      </c>
      <c r="B34" s="156" t="s">
        <v>119</v>
      </c>
      <c r="C34" s="50"/>
      <c r="D34" s="50"/>
      <c r="E34" s="51"/>
      <c r="G34" s="52"/>
      <c r="H34" s="53"/>
      <c r="I34" s="56" t="s">
        <v>27</v>
      </c>
      <c r="L34" s="179" t="s">
        <v>61</v>
      </c>
      <c r="M34" s="156" t="s">
        <v>65</v>
      </c>
      <c r="O34" s="50"/>
      <c r="P34" s="51"/>
      <c r="Q34" s="53"/>
      <c r="R34" s="54"/>
      <c r="S34" s="49"/>
      <c r="T34" s="55"/>
      <c r="W34" s="51"/>
      <c r="Y34" s="50"/>
    </row>
    <row r="35" spans="1:25" s="48" customFormat="1" ht="15">
      <c r="A35" s="179" t="s">
        <v>54</v>
      </c>
      <c r="B35" s="156" t="s">
        <v>120</v>
      </c>
      <c r="C35" s="50"/>
      <c r="D35" s="50"/>
      <c r="E35" s="51"/>
      <c r="G35" s="52"/>
      <c r="H35" s="53"/>
      <c r="I35" s="56" t="s">
        <v>28</v>
      </c>
      <c r="L35" s="179" t="s">
        <v>62</v>
      </c>
      <c r="M35" s="156" t="s">
        <v>64</v>
      </c>
      <c r="O35" s="50"/>
      <c r="P35" s="51"/>
      <c r="Q35" s="53"/>
      <c r="R35" s="54"/>
      <c r="S35" s="49"/>
      <c r="T35" s="55"/>
      <c r="W35" s="51"/>
      <c r="Y35" s="50"/>
    </row>
    <row r="36" spans="1:25" s="48" customFormat="1" ht="15">
      <c r="A36" s="179" t="s">
        <v>55</v>
      </c>
      <c r="B36" s="156" t="s">
        <v>121</v>
      </c>
      <c r="C36" s="50"/>
      <c r="D36" s="50"/>
      <c r="E36" s="51"/>
      <c r="G36" s="52"/>
      <c r="H36" s="53"/>
      <c r="I36" s="56" t="s">
        <v>26</v>
      </c>
      <c r="L36" s="179" t="s">
        <v>63</v>
      </c>
      <c r="M36" s="156" t="s">
        <v>66</v>
      </c>
      <c r="O36" s="50"/>
      <c r="P36" s="51"/>
      <c r="Q36" s="53"/>
      <c r="R36" s="54"/>
      <c r="S36" s="49"/>
      <c r="T36" s="55"/>
      <c r="W36" s="51"/>
      <c r="Y36" s="50"/>
    </row>
    <row r="37" spans="2:25" s="48" customFormat="1" ht="15">
      <c r="B37" s="49"/>
      <c r="C37" s="50"/>
      <c r="D37" s="50"/>
      <c r="E37" s="51"/>
      <c r="G37" s="52"/>
      <c r="H37" s="53"/>
      <c r="I37" s="56" t="s">
        <v>33</v>
      </c>
      <c r="O37" s="50"/>
      <c r="P37" s="51"/>
      <c r="Q37" s="53"/>
      <c r="R37" s="54"/>
      <c r="S37" s="49"/>
      <c r="T37" s="55"/>
      <c r="W37" s="51"/>
      <c r="Y37" s="50"/>
    </row>
  </sheetData>
  <sheetProtection sheet="1" objects="1" scenarios="1"/>
  <mergeCells count="26">
    <mergeCell ref="X2:X3"/>
    <mergeCell ref="Y2:Y3"/>
    <mergeCell ref="Z2:Z3"/>
    <mergeCell ref="C1:E1"/>
    <mergeCell ref="S2:S3"/>
    <mergeCell ref="U2:U3"/>
    <mergeCell ref="V2:V3"/>
    <mergeCell ref="W2:W3"/>
    <mergeCell ref="O2:O3"/>
    <mergeCell ref="P2:P3"/>
    <mergeCell ref="Q2:Q3"/>
    <mergeCell ref="R2:R3"/>
    <mergeCell ref="J2:K2"/>
    <mergeCell ref="L2:L3"/>
    <mergeCell ref="M2:M3"/>
    <mergeCell ref="N2:N3"/>
    <mergeCell ref="G1:K1"/>
    <mergeCell ref="L1:W1"/>
    <mergeCell ref="A2:A3"/>
    <mergeCell ref="B2:B3"/>
    <mergeCell ref="C2:D2"/>
    <mergeCell ref="E2:E3"/>
    <mergeCell ref="F2:F3"/>
    <mergeCell ref="G2:G3"/>
    <mergeCell ref="H2:H3"/>
    <mergeCell ref="I2:I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3" r:id="rId4"/>
  <headerFooter alignWithMargins="0">
    <oddFooter>&amp;R&amp;"Arial,Gras"&amp;14édité le &amp;D - page &amp;P / &amp;N</oddFooter>
  </headerFooter>
  <drawing r:id="rId3"/>
  <legacyDrawing r:id="rId2"/>
  <oleObjects>
    <oleObject progId="PBrush" shapeId="369732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workbookViewId="0" topLeftCell="A1">
      <selection activeCell="A1" sqref="A1:B6"/>
    </sheetView>
  </sheetViews>
  <sheetFormatPr defaultColWidth="11.421875" defaultRowHeight="12.75"/>
  <cols>
    <col min="1" max="1" width="16.57421875" style="59" bestFit="1" customWidth="1"/>
    <col min="2" max="2" width="15.421875" style="58" customWidth="1"/>
    <col min="3" max="3" width="2.140625" style="6" bestFit="1" customWidth="1"/>
    <col min="4" max="4" width="13.28125" style="6" customWidth="1"/>
    <col min="5" max="5" width="6.28125" style="6" bestFit="1" customWidth="1"/>
    <col min="6" max="6" width="15.140625" style="6" bestFit="1" customWidth="1"/>
    <col min="7" max="7" width="13.00390625" style="6" bestFit="1" customWidth="1"/>
    <col min="8" max="9" width="16.7109375" style="6" bestFit="1" customWidth="1"/>
    <col min="10" max="10" width="8.8515625" style="6" bestFit="1" customWidth="1"/>
    <col min="11" max="11" width="8.8515625" style="7" bestFit="1" customWidth="1"/>
    <col min="12" max="12" width="10.7109375" style="6" bestFit="1" customWidth="1"/>
    <col min="13" max="13" width="7.00390625" style="6" bestFit="1" customWidth="1"/>
    <col min="14" max="14" width="10.140625" style="6" bestFit="1" customWidth="1"/>
    <col min="15" max="15" width="10.57421875" style="6" customWidth="1"/>
    <col min="16" max="16" width="15.00390625" style="6" customWidth="1"/>
    <col min="17" max="17" width="8.8515625" style="7" bestFit="1" customWidth="1"/>
    <col min="18" max="18" width="12.00390625" style="8" bestFit="1" customWidth="1"/>
    <col min="19" max="19" width="17.00390625" style="6" customWidth="1"/>
    <col min="20" max="16384" width="11.421875" style="6" customWidth="1"/>
  </cols>
  <sheetData>
    <row r="1" spans="1:2" ht="18" customHeight="1">
      <c r="A1" s="484"/>
      <c r="B1" s="485"/>
    </row>
    <row r="2" spans="1:2" ht="18" customHeight="1">
      <c r="A2" s="485"/>
      <c r="B2" s="485"/>
    </row>
    <row r="3" spans="1:2" ht="18" customHeight="1">
      <c r="A3" s="485"/>
      <c r="B3" s="485"/>
    </row>
    <row r="4" spans="1:2" ht="18" customHeight="1">
      <c r="A4" s="485"/>
      <c r="B4" s="485"/>
    </row>
    <row r="5" spans="1:2" ht="18" customHeight="1">
      <c r="A5" s="485"/>
      <c r="B5" s="485"/>
    </row>
    <row r="6" spans="1:2" ht="18" customHeight="1" thickBot="1">
      <c r="A6" s="485"/>
      <c r="B6" s="485"/>
    </row>
    <row r="7" spans="1:19" ht="52.5" thickBot="1" thickTop="1">
      <c r="A7" s="148" t="s">
        <v>6</v>
      </c>
      <c r="B7" s="177">
        <f>D7</f>
        <v>40179</v>
      </c>
      <c r="C7" s="149" t="s">
        <v>8</v>
      </c>
      <c r="D7" s="400">
        <v>40179</v>
      </c>
      <c r="E7" s="147" t="s">
        <v>13</v>
      </c>
      <c r="F7" s="10" t="s">
        <v>14</v>
      </c>
      <c r="G7" s="11" t="s">
        <v>20</v>
      </c>
      <c r="H7" s="11" t="s">
        <v>36</v>
      </c>
      <c r="I7" s="11" t="s">
        <v>37</v>
      </c>
      <c r="J7" s="11" t="s">
        <v>19</v>
      </c>
      <c r="K7" s="30" t="s">
        <v>16</v>
      </c>
      <c r="N7" s="10" t="s">
        <v>15</v>
      </c>
      <c r="O7" s="11" t="s">
        <v>38</v>
      </c>
      <c r="P7" s="31" t="s">
        <v>39</v>
      </c>
      <c r="Q7" s="30" t="s">
        <v>16</v>
      </c>
      <c r="R7" s="11" t="s">
        <v>40</v>
      </c>
      <c r="S7" s="31" t="s">
        <v>41</v>
      </c>
    </row>
    <row r="8" spans="1:19" ht="14.25" thickBot="1" thickTop="1">
      <c r="A8" s="59" t="s">
        <v>24</v>
      </c>
      <c r="B8" s="58">
        <f>R8</f>
        <v>4.607258333333333</v>
      </c>
      <c r="D8" s="480" t="s">
        <v>57</v>
      </c>
      <c r="E8" s="396">
        <v>2009</v>
      </c>
      <c r="F8" s="397">
        <v>8.82</v>
      </c>
      <c r="G8" s="398">
        <v>39990</v>
      </c>
      <c r="H8" s="399">
        <v>1337.7</v>
      </c>
      <c r="I8" s="27" t="s">
        <v>17</v>
      </c>
      <c r="J8" s="389">
        <f>H8/I65*100</f>
        <v>378.6407766990291</v>
      </c>
      <c r="K8" s="389">
        <f>H8/I24*100</f>
        <v>140.40409341380214</v>
      </c>
      <c r="L8" s="394" t="s">
        <v>127</v>
      </c>
      <c r="M8" s="393" t="s">
        <v>126</v>
      </c>
      <c r="N8" s="398">
        <v>40087</v>
      </c>
      <c r="O8" s="399">
        <v>5528.71</v>
      </c>
      <c r="P8" s="389">
        <f>O30*K8/100</f>
        <v>6806.411357648911</v>
      </c>
      <c r="Q8" s="390">
        <f>O8/O30*100</f>
        <v>114.04739950451037</v>
      </c>
      <c r="R8" s="391">
        <f>O8/1200</f>
        <v>4.607258333333333</v>
      </c>
      <c r="S8" s="392">
        <f>R30*K8/100</f>
        <v>5.672004492998477</v>
      </c>
    </row>
    <row r="9" spans="1:18" ht="38.25">
      <c r="A9" s="60" t="s">
        <v>32</v>
      </c>
      <c r="B9" s="61">
        <f>S8</f>
        <v>5.672004492998477</v>
      </c>
      <c r="D9" s="481"/>
      <c r="E9" s="12">
        <v>2008</v>
      </c>
      <c r="F9" s="14">
        <v>8.71</v>
      </c>
      <c r="G9" s="17">
        <v>39627</v>
      </c>
      <c r="H9" s="19">
        <v>1321.02</v>
      </c>
      <c r="I9" s="12" t="s">
        <v>17</v>
      </c>
      <c r="J9" s="12">
        <v>373.92</v>
      </c>
      <c r="K9" s="19">
        <v>138.65</v>
      </c>
      <c r="N9" s="385">
        <v>39722</v>
      </c>
      <c r="O9" s="386">
        <v>5484.75</v>
      </c>
      <c r="P9" s="387"/>
      <c r="Q9" s="386">
        <v>113.14</v>
      </c>
      <c r="R9" s="388">
        <v>4.570625</v>
      </c>
    </row>
    <row r="10" spans="1:18" ht="12.75">
      <c r="A10" s="59" t="s">
        <v>23</v>
      </c>
      <c r="B10" s="58">
        <v>365</v>
      </c>
      <c r="D10" s="481"/>
      <c r="E10" s="12">
        <v>2008</v>
      </c>
      <c r="F10" s="14">
        <v>8.63</v>
      </c>
      <c r="G10" s="17">
        <v>39567</v>
      </c>
      <c r="H10" s="19">
        <v>1308.88</v>
      </c>
      <c r="I10" s="12" t="s">
        <v>17</v>
      </c>
      <c r="J10" s="12">
        <v>370.48</v>
      </c>
      <c r="K10" s="19">
        <v>137.38</v>
      </c>
      <c r="N10" s="17">
        <v>39508</v>
      </c>
      <c r="O10" s="19">
        <v>5468.34</v>
      </c>
      <c r="Q10" s="19">
        <v>112.8</v>
      </c>
      <c r="R10" s="21">
        <v>4.55695</v>
      </c>
    </row>
    <row r="11" spans="4:18" ht="12.75">
      <c r="D11" s="481"/>
      <c r="E11" s="12">
        <v>2007</v>
      </c>
      <c r="F11" s="14">
        <v>8.44</v>
      </c>
      <c r="G11" s="17">
        <v>39262</v>
      </c>
      <c r="H11" s="19">
        <v>1280.07</v>
      </c>
      <c r="I11" s="12" t="s">
        <v>17</v>
      </c>
      <c r="J11" s="12">
        <v>362.33</v>
      </c>
      <c r="K11" s="19">
        <v>134.36</v>
      </c>
      <c r="N11" s="17">
        <v>39114</v>
      </c>
      <c r="O11" s="19">
        <v>5441.13</v>
      </c>
      <c r="Q11" s="19">
        <v>112.24</v>
      </c>
      <c r="R11" s="21">
        <v>4.534275</v>
      </c>
    </row>
    <row r="12" spans="4:18" ht="12.75">
      <c r="D12" s="481"/>
      <c r="E12" s="12">
        <v>2006</v>
      </c>
      <c r="F12" s="14">
        <v>8.27</v>
      </c>
      <c r="G12" s="17">
        <v>38898</v>
      </c>
      <c r="H12" s="19">
        <v>1254.28</v>
      </c>
      <c r="I12" s="12" t="s">
        <v>17</v>
      </c>
      <c r="J12" s="12">
        <v>355.03</v>
      </c>
      <c r="K12" s="19">
        <v>131.65</v>
      </c>
      <c r="N12" s="17">
        <v>38899</v>
      </c>
      <c r="O12" s="19">
        <v>5397.95</v>
      </c>
      <c r="Q12" s="19">
        <v>111.35</v>
      </c>
      <c r="R12" s="21">
        <v>4.498291667</v>
      </c>
    </row>
    <row r="13" spans="4:18" ht="12.75">
      <c r="D13" s="481"/>
      <c r="E13" s="12">
        <v>2005</v>
      </c>
      <c r="F13" s="14">
        <v>8.03</v>
      </c>
      <c r="G13" s="17">
        <v>38533</v>
      </c>
      <c r="H13" s="19">
        <v>1217.88</v>
      </c>
      <c r="I13" s="19">
        <v>1357.07</v>
      </c>
      <c r="J13" s="12"/>
      <c r="K13" s="19"/>
      <c r="N13" s="17">
        <v>38657</v>
      </c>
      <c r="O13" s="19">
        <v>5371.1</v>
      </c>
      <c r="Q13" s="19">
        <v>110.8</v>
      </c>
      <c r="R13" s="21">
        <v>4.475916667</v>
      </c>
    </row>
    <row r="14" spans="4:18" ht="12.75">
      <c r="D14" s="481"/>
      <c r="E14" s="12">
        <v>2004</v>
      </c>
      <c r="F14" s="14">
        <v>7.61</v>
      </c>
      <c r="G14" s="17">
        <v>38170</v>
      </c>
      <c r="H14" s="12" t="s">
        <v>17</v>
      </c>
      <c r="I14" s="19">
        <v>1286.09</v>
      </c>
      <c r="J14" s="12">
        <v>364.03</v>
      </c>
      <c r="K14" s="19">
        <v>134.99</v>
      </c>
      <c r="N14" s="17">
        <v>38534</v>
      </c>
      <c r="O14" s="19">
        <v>5328.47</v>
      </c>
      <c r="Q14" s="19">
        <v>109.92</v>
      </c>
      <c r="R14" s="21">
        <v>4.440391667</v>
      </c>
    </row>
    <row r="15" spans="4:18" ht="12.75">
      <c r="D15" s="481"/>
      <c r="E15" s="12">
        <v>2003</v>
      </c>
      <c r="F15" s="14">
        <v>7.19</v>
      </c>
      <c r="G15" s="17">
        <v>37800</v>
      </c>
      <c r="H15" s="12" t="s">
        <v>17</v>
      </c>
      <c r="I15" s="19">
        <v>1215.11</v>
      </c>
      <c r="J15" s="12">
        <v>343.94</v>
      </c>
      <c r="K15" s="19">
        <v>127.54</v>
      </c>
      <c r="N15" s="17">
        <v>38384</v>
      </c>
      <c r="O15" s="19">
        <v>5301.96</v>
      </c>
      <c r="Q15" s="19">
        <v>109.37</v>
      </c>
      <c r="R15" s="21">
        <v>4.4183</v>
      </c>
    </row>
    <row r="16" spans="4:18" ht="12.75">
      <c r="D16" s="481"/>
      <c r="E16" s="12">
        <v>2002</v>
      </c>
      <c r="F16" s="14">
        <v>6.83</v>
      </c>
      <c r="G16" s="17">
        <v>37435</v>
      </c>
      <c r="H16" s="12" t="s">
        <v>17</v>
      </c>
      <c r="I16" s="19">
        <v>1154.27</v>
      </c>
      <c r="J16" s="12">
        <v>326.72</v>
      </c>
      <c r="K16" s="19">
        <v>121.15</v>
      </c>
      <c r="N16" s="17">
        <v>37987</v>
      </c>
      <c r="O16" s="19">
        <v>5275.58</v>
      </c>
      <c r="Q16" s="19">
        <v>108.83</v>
      </c>
      <c r="R16" s="21">
        <v>4.396316667</v>
      </c>
    </row>
    <row r="17" spans="4:18" ht="13.5" thickBot="1">
      <c r="D17" s="481"/>
      <c r="E17" s="12">
        <v>2001</v>
      </c>
      <c r="F17" s="14">
        <v>6.67</v>
      </c>
      <c r="G17" s="17">
        <v>37071</v>
      </c>
      <c r="H17" s="12" t="s">
        <v>17</v>
      </c>
      <c r="I17" s="19">
        <v>1127.23</v>
      </c>
      <c r="J17" s="12">
        <v>319.07</v>
      </c>
      <c r="K17" s="19">
        <v>118.31</v>
      </c>
      <c r="N17" s="17">
        <v>37591</v>
      </c>
      <c r="O17" s="19">
        <v>5249.33</v>
      </c>
      <c r="Q17" s="19">
        <v>108.28</v>
      </c>
      <c r="R17" s="21">
        <v>4.374441667</v>
      </c>
    </row>
    <row r="18" spans="4:18" ht="13.5" customHeight="1" thickTop="1">
      <c r="D18" s="482"/>
      <c r="E18" s="13">
        <v>2000</v>
      </c>
      <c r="F18" s="15">
        <v>42.02</v>
      </c>
      <c r="G18" s="18">
        <v>36707</v>
      </c>
      <c r="H18" s="13" t="s">
        <v>17</v>
      </c>
      <c r="I18" s="20">
        <v>1082.6</v>
      </c>
      <c r="J18" s="13">
        <v>306.43</v>
      </c>
      <c r="K18" s="20">
        <v>113.63</v>
      </c>
      <c r="L18" s="39" t="s">
        <v>18</v>
      </c>
      <c r="N18" s="17">
        <v>37316</v>
      </c>
      <c r="O18" s="19">
        <v>5212.84</v>
      </c>
      <c r="Q18" s="19">
        <v>107.53</v>
      </c>
      <c r="R18" s="21">
        <v>4.344033333</v>
      </c>
    </row>
    <row r="19" spans="4:18" ht="12.75">
      <c r="D19" s="482"/>
      <c r="E19" s="12">
        <v>1999</v>
      </c>
      <c r="F19" s="16">
        <v>40.72</v>
      </c>
      <c r="G19" s="17">
        <v>36343</v>
      </c>
      <c r="H19" s="12" t="s">
        <v>17</v>
      </c>
      <c r="I19" s="19">
        <v>1049.11</v>
      </c>
      <c r="J19" s="12">
        <v>296.95</v>
      </c>
      <c r="K19" s="19">
        <v>110.11</v>
      </c>
      <c r="N19" s="17">
        <v>37257</v>
      </c>
      <c r="O19" s="19">
        <v>5181.75</v>
      </c>
      <c r="Q19" s="19">
        <v>106.89</v>
      </c>
      <c r="R19" s="21">
        <v>4.318125</v>
      </c>
    </row>
    <row r="20" spans="4:18" ht="12.75">
      <c r="D20" s="482"/>
      <c r="E20" s="12">
        <v>1998</v>
      </c>
      <c r="F20" s="16">
        <v>40.22</v>
      </c>
      <c r="G20" s="17">
        <v>35972</v>
      </c>
      <c r="H20" s="12" t="s">
        <v>17</v>
      </c>
      <c r="I20" s="19">
        <v>1036.22</v>
      </c>
      <c r="J20" s="12">
        <v>293.31</v>
      </c>
      <c r="K20" s="19">
        <v>108.76</v>
      </c>
      <c r="N20" s="17">
        <v>37196</v>
      </c>
      <c r="O20" s="19">
        <v>5181.74</v>
      </c>
      <c r="Q20" s="19">
        <v>106.89</v>
      </c>
      <c r="R20" s="21">
        <v>4.318117925</v>
      </c>
    </row>
    <row r="21" spans="4:18" ht="13.5" thickBot="1">
      <c r="D21" s="482"/>
      <c r="E21" s="12">
        <v>1997</v>
      </c>
      <c r="F21" s="16">
        <v>39.43</v>
      </c>
      <c r="G21" s="17">
        <v>35608</v>
      </c>
      <c r="H21" s="12" t="s">
        <v>17</v>
      </c>
      <c r="I21" s="19">
        <v>1015.87</v>
      </c>
      <c r="J21" s="12">
        <v>287.55</v>
      </c>
      <c r="K21" s="19">
        <v>106.63</v>
      </c>
      <c r="N21" s="17">
        <v>37012</v>
      </c>
      <c r="O21" s="19">
        <v>5145.76</v>
      </c>
      <c r="Q21" s="19">
        <v>106.15</v>
      </c>
      <c r="R21" s="21">
        <v>4.288136288</v>
      </c>
    </row>
    <row r="22" spans="4:19" ht="13.5" thickTop="1">
      <c r="D22" s="482"/>
      <c r="E22" s="12">
        <v>1996</v>
      </c>
      <c r="F22" s="16">
        <v>37.91</v>
      </c>
      <c r="G22" s="17">
        <v>35244</v>
      </c>
      <c r="H22" s="12" t="s">
        <v>17</v>
      </c>
      <c r="I22" s="12">
        <v>976.71</v>
      </c>
      <c r="J22" s="12">
        <v>276.46</v>
      </c>
      <c r="K22" s="19">
        <v>102.51</v>
      </c>
      <c r="N22" s="18">
        <v>36861</v>
      </c>
      <c r="O22" s="20">
        <v>5120.15</v>
      </c>
      <c r="P22" s="9"/>
      <c r="Q22" s="20">
        <v>105.62</v>
      </c>
      <c r="R22" s="22">
        <v>4.266793428</v>
      </c>
      <c r="S22" s="39" t="s">
        <v>18</v>
      </c>
    </row>
    <row r="23" spans="4:18" ht="12.75">
      <c r="D23" s="482"/>
      <c r="E23" s="12">
        <v>1996</v>
      </c>
      <c r="F23" s="16">
        <v>37.72</v>
      </c>
      <c r="G23" s="17">
        <v>35183</v>
      </c>
      <c r="H23" s="12" t="s">
        <v>17</v>
      </c>
      <c r="I23" s="12">
        <v>971.81</v>
      </c>
      <c r="J23" s="12">
        <v>275.08</v>
      </c>
      <c r="K23" s="19">
        <v>102</v>
      </c>
      <c r="N23" s="17">
        <v>36495</v>
      </c>
      <c r="O23" s="19">
        <v>5094.69</v>
      </c>
      <c r="Q23" s="19">
        <v>105.09</v>
      </c>
      <c r="R23" s="21">
        <v>4.245577609</v>
      </c>
    </row>
    <row r="24" spans="4:18" ht="13.5" thickBot="1">
      <c r="D24" s="483"/>
      <c r="E24" s="28">
        <v>1995</v>
      </c>
      <c r="F24" s="29">
        <v>36.98</v>
      </c>
      <c r="G24" s="23">
        <v>34880</v>
      </c>
      <c r="H24" s="28" t="s">
        <v>17</v>
      </c>
      <c r="I24" s="28">
        <v>952.75</v>
      </c>
      <c r="J24" s="28">
        <v>269.68</v>
      </c>
      <c r="K24" s="24">
        <v>100</v>
      </c>
      <c r="N24" s="17">
        <v>36251</v>
      </c>
      <c r="O24" s="19">
        <v>5054.45</v>
      </c>
      <c r="Q24" s="19">
        <v>104.26</v>
      </c>
      <c r="R24" s="21">
        <v>4.212038829</v>
      </c>
    </row>
    <row r="25" spans="1:18" ht="80.25" thickBot="1" thickTop="1">
      <c r="A25" s="180" t="s">
        <v>56</v>
      </c>
      <c r="B25" s="181">
        <f>D25</f>
        <v>40179</v>
      </c>
      <c r="C25" s="182" t="s">
        <v>8</v>
      </c>
      <c r="D25" s="401">
        <v>40179</v>
      </c>
      <c r="E25" s="32">
        <v>1994</v>
      </c>
      <c r="F25" s="33">
        <v>35.56</v>
      </c>
      <c r="G25" s="34">
        <v>34516</v>
      </c>
      <c r="H25" s="32" t="s">
        <v>17</v>
      </c>
      <c r="I25" s="32">
        <v>916.16</v>
      </c>
      <c r="J25" s="32">
        <v>259.32</v>
      </c>
      <c r="K25" s="35"/>
      <c r="N25" s="17">
        <v>36100</v>
      </c>
      <c r="O25" s="19">
        <v>5029.29</v>
      </c>
      <c r="Q25" s="19">
        <v>103.75</v>
      </c>
      <c r="R25" s="21">
        <v>4.191077092</v>
      </c>
    </row>
    <row r="26" spans="5:18" ht="13.5" thickTop="1">
      <c r="E26" s="12">
        <v>1993</v>
      </c>
      <c r="F26" s="16">
        <v>34.83</v>
      </c>
      <c r="G26" s="17">
        <v>34156</v>
      </c>
      <c r="H26" s="12" t="s">
        <v>17</v>
      </c>
      <c r="I26" s="12">
        <v>897.36</v>
      </c>
      <c r="J26" s="12">
        <v>254</v>
      </c>
      <c r="N26" s="17">
        <v>35886</v>
      </c>
      <c r="O26" s="19">
        <v>5004.6</v>
      </c>
      <c r="Q26" s="19">
        <v>103.24</v>
      </c>
      <c r="R26" s="21">
        <v>4.170496477</v>
      </c>
    </row>
    <row r="27" spans="5:18" ht="12.75">
      <c r="E27" s="12">
        <v>1992</v>
      </c>
      <c r="F27" s="16">
        <v>34.06</v>
      </c>
      <c r="G27" s="17">
        <v>33788</v>
      </c>
      <c r="H27" s="12" t="s">
        <v>17</v>
      </c>
      <c r="I27" s="12">
        <v>877.52</v>
      </c>
      <c r="J27" s="12">
        <v>248.39</v>
      </c>
      <c r="N27" s="17">
        <v>35704</v>
      </c>
      <c r="O27" s="19">
        <v>4964.81</v>
      </c>
      <c r="Q27" s="19">
        <v>102.42</v>
      </c>
      <c r="R27" s="21">
        <v>4.137338819</v>
      </c>
    </row>
    <row r="28" spans="5:18" ht="12.75">
      <c r="E28" s="12">
        <v>1992</v>
      </c>
      <c r="F28" s="16">
        <v>33.31</v>
      </c>
      <c r="G28" s="17">
        <v>33662</v>
      </c>
      <c r="H28" s="12" t="s">
        <v>17</v>
      </c>
      <c r="I28" s="12">
        <v>858.19</v>
      </c>
      <c r="J28" s="12">
        <v>242.92</v>
      </c>
      <c r="N28" s="17">
        <v>35490</v>
      </c>
      <c r="O28" s="19">
        <v>4940.11</v>
      </c>
      <c r="Q28" s="19">
        <v>101.91</v>
      </c>
      <c r="R28" s="21">
        <v>4.116758204</v>
      </c>
    </row>
    <row r="29" spans="5:18" ht="12.75">
      <c r="E29" s="12">
        <v>1991</v>
      </c>
      <c r="F29" s="16">
        <v>32.66</v>
      </c>
      <c r="G29" s="17">
        <v>33418</v>
      </c>
      <c r="H29" s="12" t="s">
        <v>17</v>
      </c>
      <c r="I29" s="12">
        <v>841.45</v>
      </c>
      <c r="J29" s="12">
        <v>238.18</v>
      </c>
      <c r="N29" s="17">
        <v>35004</v>
      </c>
      <c r="O29" s="19">
        <v>4915.57</v>
      </c>
      <c r="Q29" s="19">
        <v>101.4</v>
      </c>
      <c r="R29" s="21">
        <v>4.09630463</v>
      </c>
    </row>
    <row r="30" spans="5:18" ht="13.5" thickBot="1">
      <c r="E30" s="12">
        <v>1990</v>
      </c>
      <c r="F30" s="16">
        <v>31.94</v>
      </c>
      <c r="G30" s="17">
        <v>33207</v>
      </c>
      <c r="H30" s="12" t="s">
        <v>17</v>
      </c>
      <c r="I30" s="12">
        <v>822.9</v>
      </c>
      <c r="J30" s="12">
        <v>232.93</v>
      </c>
      <c r="N30" s="23">
        <v>34759</v>
      </c>
      <c r="O30" s="24">
        <v>4847.73</v>
      </c>
      <c r="P30" s="25"/>
      <c r="Q30" s="24">
        <v>100</v>
      </c>
      <c r="R30" s="26">
        <v>4.039771459</v>
      </c>
    </row>
    <row r="31" spans="5:18" ht="13.5" thickTop="1">
      <c r="E31" s="12">
        <v>1990</v>
      </c>
      <c r="F31" s="16">
        <v>31.28</v>
      </c>
      <c r="G31" s="17">
        <v>33054</v>
      </c>
      <c r="H31" s="12" t="s">
        <v>17</v>
      </c>
      <c r="I31" s="12">
        <v>805.89</v>
      </c>
      <c r="J31" s="12">
        <v>228.11</v>
      </c>
      <c r="N31" s="36"/>
      <c r="O31" s="36"/>
      <c r="P31" s="36"/>
      <c r="Q31" s="35"/>
      <c r="R31" s="37"/>
    </row>
    <row r="32" spans="5:10" ht="12.75">
      <c r="E32" s="12">
        <v>1990</v>
      </c>
      <c r="F32" s="16">
        <v>30.51</v>
      </c>
      <c r="G32" s="17">
        <v>32963</v>
      </c>
      <c r="H32" s="12" t="s">
        <v>17</v>
      </c>
      <c r="I32" s="12">
        <v>786.06</v>
      </c>
      <c r="J32" s="12">
        <v>222.5</v>
      </c>
    </row>
    <row r="33" spans="5:10" ht="12.75">
      <c r="E33" s="12">
        <v>1989</v>
      </c>
      <c r="F33" s="16">
        <v>29.91</v>
      </c>
      <c r="G33" s="17">
        <v>32690</v>
      </c>
      <c r="H33" s="12" t="s">
        <v>17</v>
      </c>
      <c r="I33" s="12">
        <v>770.6</v>
      </c>
      <c r="J33" s="12">
        <v>218.12</v>
      </c>
    </row>
    <row r="34" spans="5:10" ht="12.75">
      <c r="E34" s="12">
        <v>1989</v>
      </c>
      <c r="F34" s="16">
        <v>29.36</v>
      </c>
      <c r="G34" s="17">
        <v>32568</v>
      </c>
      <c r="H34" s="12" t="s">
        <v>17</v>
      </c>
      <c r="I34" s="12">
        <v>756.43</v>
      </c>
      <c r="J34" s="12">
        <v>214.11</v>
      </c>
    </row>
    <row r="35" spans="5:13" ht="15.75">
      <c r="E35" s="12">
        <v>1988</v>
      </c>
      <c r="F35" s="16">
        <v>28.76</v>
      </c>
      <c r="G35" s="17">
        <v>32325</v>
      </c>
      <c r="H35" s="12" t="s">
        <v>17</v>
      </c>
      <c r="I35" s="12">
        <v>740.97</v>
      </c>
      <c r="J35" s="12">
        <v>209.73</v>
      </c>
      <c r="L35" s="38" t="s">
        <v>118</v>
      </c>
      <c r="M35" s="38"/>
    </row>
    <row r="36" spans="5:12" ht="12.75">
      <c r="E36" s="12">
        <v>1988</v>
      </c>
      <c r="F36" s="16">
        <v>28.48</v>
      </c>
      <c r="G36" s="17">
        <v>32295</v>
      </c>
      <c r="H36" s="12" t="s">
        <v>17</v>
      </c>
      <c r="I36" s="12">
        <v>733.76</v>
      </c>
      <c r="J36" s="12">
        <v>207.69</v>
      </c>
      <c r="L36" s="157" t="s">
        <v>52</v>
      </c>
    </row>
    <row r="37" spans="5:11" ht="12.75">
      <c r="E37" s="12">
        <v>1987</v>
      </c>
      <c r="F37" s="16">
        <v>27.84</v>
      </c>
      <c r="G37" s="17">
        <v>31959</v>
      </c>
      <c r="H37" s="12" t="s">
        <v>17</v>
      </c>
      <c r="I37" s="12">
        <v>717.27</v>
      </c>
      <c r="J37" s="12">
        <v>203.03</v>
      </c>
      <c r="K37" s="306"/>
    </row>
    <row r="38" spans="5:11" ht="12.75">
      <c r="E38" s="12">
        <v>1987</v>
      </c>
      <c r="F38" s="16">
        <v>27.57</v>
      </c>
      <c r="G38" s="17">
        <v>31837</v>
      </c>
      <c r="H38" s="12" t="s">
        <v>17</v>
      </c>
      <c r="I38" s="12">
        <v>710.31</v>
      </c>
      <c r="J38" s="12">
        <v>201.06</v>
      </c>
      <c r="K38" s="307" t="s">
        <v>49</v>
      </c>
    </row>
    <row r="39" spans="5:11" ht="12.75">
      <c r="E39" s="12">
        <v>1986</v>
      </c>
      <c r="F39" s="16">
        <v>26.92</v>
      </c>
      <c r="G39" s="17">
        <v>31600</v>
      </c>
      <c r="H39" s="12" t="s">
        <v>17</v>
      </c>
      <c r="I39" s="12">
        <v>693.56</v>
      </c>
      <c r="J39" s="12">
        <v>196.32</v>
      </c>
      <c r="K39" s="306"/>
    </row>
    <row r="40" spans="5:11" ht="12.75">
      <c r="E40" s="12">
        <v>1986</v>
      </c>
      <c r="F40" s="16">
        <v>26.59</v>
      </c>
      <c r="G40" s="17">
        <v>31564</v>
      </c>
      <c r="H40" s="12" t="s">
        <v>17</v>
      </c>
      <c r="I40" s="12">
        <v>685.06</v>
      </c>
      <c r="J40" s="12">
        <v>193.91</v>
      </c>
      <c r="K40" s="307" t="s">
        <v>50</v>
      </c>
    </row>
    <row r="41" spans="5:11" ht="12.75">
      <c r="E41" s="12">
        <v>1985</v>
      </c>
      <c r="F41" s="16">
        <v>26.04</v>
      </c>
      <c r="G41" s="17">
        <v>31229</v>
      </c>
      <c r="H41" s="12" t="s">
        <v>17</v>
      </c>
      <c r="I41" s="12">
        <v>670.89</v>
      </c>
      <c r="J41" s="12">
        <v>189.9</v>
      </c>
      <c r="K41" s="306"/>
    </row>
    <row r="42" spans="5:11" ht="12.75">
      <c r="E42" s="12">
        <v>1985</v>
      </c>
      <c r="F42" s="16">
        <v>25.54</v>
      </c>
      <c r="G42" s="17">
        <v>31168</v>
      </c>
      <c r="H42" s="12" t="s">
        <v>17</v>
      </c>
      <c r="I42" s="12">
        <v>658.01</v>
      </c>
      <c r="J42" s="12">
        <v>186.25</v>
      </c>
      <c r="K42" s="307" t="s">
        <v>51</v>
      </c>
    </row>
    <row r="43" spans="5:11" ht="12.75">
      <c r="E43" s="12">
        <v>1985</v>
      </c>
      <c r="F43" s="16">
        <v>24.9</v>
      </c>
      <c r="G43" s="17">
        <v>31138</v>
      </c>
      <c r="H43" s="12" t="s">
        <v>17</v>
      </c>
      <c r="I43" s="12">
        <v>641.52</v>
      </c>
      <c r="J43" s="12">
        <v>181.59</v>
      </c>
      <c r="K43" s="308"/>
    </row>
    <row r="44" spans="5:10" ht="12.75">
      <c r="E44" s="12">
        <v>1984</v>
      </c>
      <c r="F44" s="16">
        <v>24.36</v>
      </c>
      <c r="G44" s="17">
        <v>30987</v>
      </c>
      <c r="H44" s="12" t="s">
        <v>17</v>
      </c>
      <c r="I44" s="12">
        <v>627.61</v>
      </c>
      <c r="J44" s="12">
        <v>177.65</v>
      </c>
    </row>
    <row r="45" spans="5:10" ht="12.75">
      <c r="E45" s="12">
        <v>1984</v>
      </c>
      <c r="F45" s="16">
        <v>23.84</v>
      </c>
      <c r="G45" s="17">
        <v>30864</v>
      </c>
      <c r="H45" s="12" t="s">
        <v>17</v>
      </c>
      <c r="I45" s="12">
        <v>614.21</v>
      </c>
      <c r="J45" s="12">
        <v>173.86</v>
      </c>
    </row>
    <row r="46" spans="5:10" ht="12.75">
      <c r="E46" s="12">
        <v>1984</v>
      </c>
      <c r="F46" s="16">
        <v>23.56</v>
      </c>
      <c r="G46" s="17">
        <v>30803</v>
      </c>
      <c r="H46" s="12" t="s">
        <v>17</v>
      </c>
      <c r="I46" s="12">
        <v>607</v>
      </c>
      <c r="J46" s="12">
        <v>171.81</v>
      </c>
    </row>
    <row r="47" spans="5:10" ht="12.75">
      <c r="E47" s="12">
        <v>1984</v>
      </c>
      <c r="F47" s="16">
        <v>22.78</v>
      </c>
      <c r="G47" s="17">
        <v>30682</v>
      </c>
      <c r="H47" s="12" t="s">
        <v>17</v>
      </c>
      <c r="I47" s="12">
        <v>586.9</v>
      </c>
      <c r="J47" s="12">
        <v>166.13</v>
      </c>
    </row>
    <row r="48" spans="5:10" ht="12.75">
      <c r="E48" s="12">
        <v>1983</v>
      </c>
      <c r="F48" s="16">
        <v>22.33</v>
      </c>
      <c r="G48" s="17">
        <v>30590</v>
      </c>
      <c r="H48" s="12" t="s">
        <v>17</v>
      </c>
      <c r="I48" s="12">
        <v>575.31</v>
      </c>
      <c r="J48" s="12">
        <v>162.84</v>
      </c>
    </row>
    <row r="49" spans="5:10" ht="12.75">
      <c r="E49" s="12">
        <v>1983</v>
      </c>
      <c r="F49" s="16">
        <v>21.89</v>
      </c>
      <c r="G49" s="17">
        <v>30498</v>
      </c>
      <c r="H49" s="12" t="s">
        <v>17</v>
      </c>
      <c r="I49" s="12">
        <v>563.97</v>
      </c>
      <c r="J49" s="12">
        <v>159.63</v>
      </c>
    </row>
    <row r="50" spans="5:10" ht="12.75">
      <c r="E50" s="12">
        <v>1983</v>
      </c>
      <c r="F50" s="16">
        <v>21.65</v>
      </c>
      <c r="G50" s="17">
        <v>30468</v>
      </c>
      <c r="H50" s="12" t="s">
        <v>17</v>
      </c>
      <c r="I50" s="12">
        <v>557.79</v>
      </c>
      <c r="J50" s="12">
        <v>157.88</v>
      </c>
    </row>
    <row r="51" spans="5:10" ht="12.75">
      <c r="E51" s="12">
        <v>1983</v>
      </c>
      <c r="F51" s="16">
        <v>21.02</v>
      </c>
      <c r="G51" s="17">
        <v>30376</v>
      </c>
      <c r="H51" s="12" t="s">
        <v>17</v>
      </c>
      <c r="I51" s="12">
        <v>541.56</v>
      </c>
      <c r="J51" s="12">
        <v>153.29</v>
      </c>
    </row>
    <row r="52" spans="5:10" ht="12.75">
      <c r="E52" s="12">
        <v>1982</v>
      </c>
      <c r="F52" s="16">
        <v>20.29</v>
      </c>
      <c r="G52" s="17">
        <v>30286</v>
      </c>
      <c r="H52" s="12" t="s">
        <v>17</v>
      </c>
      <c r="I52" s="12">
        <v>522.75</v>
      </c>
      <c r="J52" s="12">
        <v>147.97</v>
      </c>
    </row>
    <row r="53" spans="5:10" ht="12.75">
      <c r="E53" s="12">
        <v>1982</v>
      </c>
      <c r="F53" s="16">
        <v>19.64</v>
      </c>
      <c r="G53" s="17">
        <v>30133</v>
      </c>
      <c r="H53" s="12" t="s">
        <v>17</v>
      </c>
      <c r="I53" s="12">
        <v>506</v>
      </c>
      <c r="J53" s="12">
        <v>143.23</v>
      </c>
    </row>
    <row r="54" spans="5:10" ht="12.75">
      <c r="E54" s="12">
        <v>1982</v>
      </c>
      <c r="F54" s="16">
        <v>19.03</v>
      </c>
      <c r="G54" s="17">
        <v>30072</v>
      </c>
      <c r="H54" s="12" t="s">
        <v>17</v>
      </c>
      <c r="I54" s="12">
        <v>490.13</v>
      </c>
      <c r="J54" s="12">
        <v>138.73</v>
      </c>
    </row>
    <row r="55" spans="5:10" ht="12.75">
      <c r="E55" s="12">
        <v>1982</v>
      </c>
      <c r="F55" s="16">
        <v>18.62</v>
      </c>
      <c r="G55" s="17">
        <v>30011</v>
      </c>
      <c r="H55" s="12" t="s">
        <v>17</v>
      </c>
      <c r="I55" s="12">
        <v>479.72</v>
      </c>
      <c r="J55" s="12">
        <v>135.79</v>
      </c>
    </row>
    <row r="56" spans="5:10" ht="12.75">
      <c r="E56" s="12">
        <v>1982</v>
      </c>
      <c r="F56" s="16">
        <v>18.15</v>
      </c>
      <c r="G56" s="17">
        <v>29952</v>
      </c>
      <c r="H56" s="12" t="s">
        <v>17</v>
      </c>
      <c r="I56" s="12">
        <v>479.6</v>
      </c>
      <c r="J56" s="12">
        <v>135.75</v>
      </c>
    </row>
    <row r="57" spans="5:10" ht="12.75">
      <c r="E57" s="12">
        <v>1981</v>
      </c>
      <c r="F57" s="16">
        <v>17.76</v>
      </c>
      <c r="G57" s="17">
        <v>29891</v>
      </c>
      <c r="H57" s="12" t="s">
        <v>17</v>
      </c>
      <c r="I57" s="12">
        <v>469.29</v>
      </c>
      <c r="J57" s="12">
        <v>132.83</v>
      </c>
    </row>
    <row r="58" spans="5:10" ht="12.75">
      <c r="E58" s="12">
        <v>1981</v>
      </c>
      <c r="F58" s="16">
        <v>17.34</v>
      </c>
      <c r="G58" s="17">
        <v>29830</v>
      </c>
      <c r="H58" s="12" t="s">
        <v>17</v>
      </c>
      <c r="I58" s="12">
        <v>458.19</v>
      </c>
      <c r="J58" s="12">
        <v>129.69</v>
      </c>
    </row>
    <row r="59" spans="5:10" ht="12.75">
      <c r="E59" s="12">
        <v>1981</v>
      </c>
      <c r="F59" s="16">
        <v>16.72</v>
      </c>
      <c r="G59" s="17">
        <v>29738</v>
      </c>
      <c r="H59" s="12" t="s">
        <v>17</v>
      </c>
      <c r="I59" s="12">
        <v>441.81</v>
      </c>
      <c r="J59" s="12">
        <v>125.06</v>
      </c>
    </row>
    <row r="60" spans="5:10" ht="12.75">
      <c r="E60" s="12">
        <v>1981</v>
      </c>
      <c r="F60" s="16">
        <v>15.2</v>
      </c>
      <c r="G60" s="17">
        <v>29738</v>
      </c>
      <c r="H60" s="12" t="s">
        <v>17</v>
      </c>
      <c r="I60" s="12">
        <v>401.65</v>
      </c>
      <c r="J60" s="12">
        <v>113.69</v>
      </c>
    </row>
    <row r="61" spans="5:10" ht="12.75">
      <c r="E61" s="12">
        <v>1980</v>
      </c>
      <c r="F61" s="16">
        <v>14.79</v>
      </c>
      <c r="G61" s="17">
        <v>29556</v>
      </c>
      <c r="H61" s="12" t="s">
        <v>17</v>
      </c>
      <c r="I61" s="12">
        <v>390.81</v>
      </c>
      <c r="J61" s="12">
        <v>110.62</v>
      </c>
    </row>
    <row r="62" spans="5:10" ht="12.75">
      <c r="E62" s="12">
        <v>1980</v>
      </c>
      <c r="F62" s="16">
        <v>14.29</v>
      </c>
      <c r="G62" s="17">
        <v>29465</v>
      </c>
      <c r="H62" s="12" t="s">
        <v>17</v>
      </c>
      <c r="I62" s="12">
        <v>377.6</v>
      </c>
      <c r="J62" s="12">
        <v>106.88</v>
      </c>
    </row>
    <row r="63" spans="5:10" ht="12.75">
      <c r="E63" s="12">
        <v>1980</v>
      </c>
      <c r="F63" s="16">
        <v>14</v>
      </c>
      <c r="G63" s="17">
        <v>29403</v>
      </c>
      <c r="H63" s="12" t="s">
        <v>17</v>
      </c>
      <c r="I63" s="12">
        <v>369.94</v>
      </c>
      <c r="J63" s="12">
        <v>104.71</v>
      </c>
    </row>
    <row r="64" spans="5:10" ht="12.75">
      <c r="E64" s="12">
        <v>1980</v>
      </c>
      <c r="F64" s="16">
        <v>13.66</v>
      </c>
      <c r="G64" s="17">
        <v>29342</v>
      </c>
      <c r="H64" s="12" t="s">
        <v>17</v>
      </c>
      <c r="I64" s="12">
        <v>360.95</v>
      </c>
      <c r="J64" s="12">
        <v>102.17</v>
      </c>
    </row>
    <row r="65" spans="5:10" ht="12.75">
      <c r="E65" s="12">
        <v>1980</v>
      </c>
      <c r="F65" s="16">
        <v>13.37</v>
      </c>
      <c r="G65" s="17">
        <v>29281</v>
      </c>
      <c r="H65" s="12" t="s">
        <v>17</v>
      </c>
      <c r="I65" s="12">
        <v>353.29</v>
      </c>
      <c r="J65" s="12">
        <v>100</v>
      </c>
    </row>
  </sheetData>
  <sheetProtection sheet="1" objects="1" scenarios="1"/>
  <mergeCells count="2">
    <mergeCell ref="D8:D24"/>
    <mergeCell ref="A1:B6"/>
  </mergeCells>
  <hyperlinks>
    <hyperlink ref="K38" r:id="rId1" display="http://www.fonction-publique.gouv.fr/IMG/QR_statut_catB.pdf"/>
    <hyperlink ref="K40" r:id="rId2" display="http://www2.lifl.fr/~beaufils/pub/pouvoir_achat.archives/20080511/%5BSite_Fonction_Publique%5D_RÃ©munÃ©ration_principale/"/>
    <hyperlink ref="K42" r:id="rId3" display="http://www.insee.fr/fr/themes/tableau.asp?ref_id=NATnon04145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6"/>
  <headerFooter alignWithMargins="0">
    <oddFooter>&amp;R&amp;20édité le &amp;D - page &amp;P / &amp;N</oddFooter>
  </headerFooter>
  <legacyDrawing r:id="rId5"/>
  <oleObjects>
    <oleObject progId="PBrush" shapeId="3178903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2009-10-22T12:48:44Z</cp:lastPrinted>
  <dcterms:created xsi:type="dcterms:W3CDTF">2009-08-31T09:34:53Z</dcterms:created>
  <dcterms:modified xsi:type="dcterms:W3CDTF">2009-10-22T12:51:07Z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